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EC8D4EFC-F7CC-4AD0-AB15-428325BB082F}" xr6:coauthVersionLast="47" xr6:coauthVersionMax="47" xr10:uidLastSave="{00000000-0000-0000-0000-000000000000}"/>
  <bookViews>
    <workbookView xWindow="3120" yWindow="1950" windowWidth="24555" windowHeight="14250" xr2:uid="{00000000-000D-0000-FFFF-FFFF00000000}"/>
  </bookViews>
  <sheets>
    <sheet name="1883th" sheetId="2" r:id="rId1"/>
  </sheets>
  <definedNames>
    <definedName name="_xlnm._FilterDatabase" localSheetId="0" hidden="1">'1883th'!$A$1:$I$1</definedName>
  </definedNames>
  <calcPr calcId="191029"/>
</workbook>
</file>

<file path=xl/calcChain.xml><?xml version="1.0" encoding="utf-8"?>
<calcChain xmlns="http://schemas.openxmlformats.org/spreadsheetml/2006/main">
  <c r="E2" i="2" l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6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3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8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8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5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0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0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7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2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2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19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4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4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1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6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6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3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8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8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5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0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0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7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2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02" i="2"/>
  <c r="E2303" i="2"/>
  <c r="E2304" i="2"/>
  <c r="E2305" i="2"/>
  <c r="E2306" i="2"/>
  <c r="E2307" i="2"/>
  <c r="E2308" i="2"/>
  <c r="E2309" i="2"/>
  <c r="E2310" i="2"/>
  <c r="E2311" i="2"/>
  <c r="E2312" i="2"/>
  <c r="E2313" i="2"/>
  <c r="E2314" i="2"/>
  <c r="E2315" i="2"/>
  <c r="E2316" i="2"/>
  <c r="E2317" i="2"/>
  <c r="E2318" i="2"/>
  <c r="E2319" i="2"/>
  <c r="E2320" i="2"/>
  <c r="E2321" i="2"/>
  <c r="E2322" i="2"/>
  <c r="E2323" i="2"/>
  <c r="E2324" i="2"/>
  <c r="E2325" i="2"/>
  <c r="E2326" i="2"/>
  <c r="E2327" i="2"/>
  <c r="E2328" i="2"/>
  <c r="E2329" i="2"/>
  <c r="E2330" i="2"/>
  <c r="E2331" i="2"/>
  <c r="E2332" i="2"/>
  <c r="E2333" i="2"/>
  <c r="E2334" i="2"/>
  <c r="E2335" i="2"/>
  <c r="E2336" i="2"/>
  <c r="E2337" i="2"/>
  <c r="E2338" i="2"/>
  <c r="E2339" i="2"/>
  <c r="E2340" i="2"/>
  <c r="E2341" i="2"/>
  <c r="E2342" i="2"/>
  <c r="E2343" i="2"/>
  <c r="E2344" i="2"/>
  <c r="E2345" i="2"/>
  <c r="E2346" i="2"/>
  <c r="E2347" i="2"/>
  <c r="E2348" i="2"/>
  <c r="E2349" i="2"/>
  <c r="E2350" i="2"/>
  <c r="E2351" i="2"/>
  <c r="E2352" i="2"/>
  <c r="E2353" i="2"/>
  <c r="E2354" i="2"/>
  <c r="E2355" i="2"/>
  <c r="E2356" i="2"/>
  <c r="E2357" i="2"/>
  <c r="E2358" i="2"/>
  <c r="E2359" i="2"/>
  <c r="E2360" i="2"/>
  <c r="E2361" i="2"/>
  <c r="E2362" i="2"/>
  <c r="E2363" i="2"/>
  <c r="E2364" i="2"/>
  <c r="E2365" i="2"/>
  <c r="E2366" i="2"/>
  <c r="E2367" i="2"/>
  <c r="E2368" i="2"/>
  <c r="E2369" i="2"/>
  <c r="E2370" i="2"/>
  <c r="E2371" i="2"/>
  <c r="E2372" i="2"/>
  <c r="E2373" i="2"/>
  <c r="E2374" i="2"/>
  <c r="E2375" i="2"/>
  <c r="E2376" i="2"/>
  <c r="E2377" i="2"/>
  <c r="E2378" i="2"/>
  <c r="E2379" i="2"/>
  <c r="E2380" i="2"/>
  <c r="E2381" i="2"/>
  <c r="E2382" i="2"/>
  <c r="E2383" i="2"/>
  <c r="E2384" i="2"/>
  <c r="E2385" i="2"/>
  <c r="E2386" i="2"/>
  <c r="E2387" i="2"/>
  <c r="E2388" i="2"/>
  <c r="E2389" i="2"/>
  <c r="E2390" i="2"/>
  <c r="E2391" i="2"/>
  <c r="E2392" i="2"/>
  <c r="E2393" i="2"/>
  <c r="E2394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2408" i="2"/>
  <c r="E2409" i="2"/>
  <c r="E2410" i="2"/>
  <c r="E2411" i="2"/>
  <c r="E2412" i="2"/>
  <c r="E2413" i="2"/>
  <c r="E2414" i="2"/>
  <c r="E2415" i="2"/>
  <c r="E2416" i="2"/>
  <c r="E2417" i="2"/>
  <c r="E2418" i="2"/>
  <c r="E2419" i="2"/>
  <c r="E2420" i="2"/>
  <c r="E2421" i="2"/>
  <c r="E2422" i="2"/>
  <c r="E2423" i="2"/>
  <c r="E2424" i="2"/>
  <c r="E2425" i="2"/>
  <c r="E2426" i="2"/>
  <c r="E2427" i="2"/>
  <c r="E2428" i="2"/>
  <c r="E2429" i="2"/>
  <c r="E2430" i="2"/>
  <c r="E2431" i="2"/>
  <c r="E2432" i="2"/>
  <c r="E2433" i="2"/>
  <c r="E2434" i="2"/>
  <c r="E2435" i="2"/>
  <c r="E2436" i="2"/>
  <c r="E2437" i="2"/>
  <c r="E2438" i="2"/>
  <c r="E2439" i="2"/>
  <c r="E2440" i="2"/>
  <c r="E2441" i="2"/>
  <c r="E2442" i="2"/>
  <c r="E2443" i="2"/>
  <c r="E2444" i="2"/>
  <c r="E2445" i="2"/>
  <c r="E2446" i="2"/>
  <c r="E2447" i="2"/>
  <c r="E2448" i="2"/>
  <c r="E2449" i="2"/>
  <c r="E2450" i="2"/>
  <c r="E2451" i="2"/>
  <c r="E2452" i="2"/>
  <c r="E2453" i="2"/>
  <c r="E2454" i="2"/>
  <c r="E2455" i="2"/>
  <c r="E2456" i="2"/>
  <c r="E2457" i="2"/>
  <c r="E2458" i="2"/>
  <c r="E2459" i="2"/>
  <c r="E2460" i="2"/>
  <c r="E2461" i="2"/>
  <c r="E2462" i="2"/>
  <c r="E2463" i="2"/>
  <c r="E2464" i="2"/>
  <c r="E2465" i="2"/>
  <c r="E2466" i="2"/>
  <c r="E2467" i="2"/>
  <c r="E2468" i="2"/>
  <c r="E2469" i="2"/>
  <c r="E2470" i="2"/>
  <c r="E2471" i="2"/>
  <c r="E2472" i="2"/>
  <c r="E2473" i="2"/>
  <c r="E2474" i="2"/>
  <c r="E2475" i="2"/>
  <c r="E2476" i="2"/>
  <c r="E2477" i="2"/>
  <c r="E2478" i="2"/>
  <c r="E2479" i="2"/>
  <c r="E2480" i="2"/>
  <c r="E2481" i="2"/>
  <c r="E2482" i="2"/>
  <c r="E2483" i="2"/>
  <c r="E2484" i="2"/>
  <c r="E2485" i="2"/>
  <c r="E2486" i="2"/>
  <c r="E2487" i="2"/>
  <c r="E2488" i="2"/>
  <c r="E2489" i="2"/>
  <c r="E2490" i="2"/>
  <c r="E2491" i="2"/>
  <c r="E2492" i="2"/>
  <c r="E2493" i="2"/>
  <c r="E2494" i="2"/>
  <c r="E2495" i="2"/>
  <c r="E2496" i="2"/>
  <c r="E2497" i="2"/>
  <c r="E2498" i="2"/>
  <c r="E2499" i="2"/>
  <c r="E2500" i="2"/>
  <c r="E2501" i="2"/>
  <c r="E2502" i="2"/>
  <c r="E2503" i="2"/>
  <c r="E2504" i="2"/>
  <c r="E2505" i="2"/>
  <c r="E2506" i="2"/>
  <c r="E2507" i="2"/>
  <c r="E2508" i="2"/>
  <c r="E2509" i="2"/>
  <c r="E2510" i="2"/>
  <c r="E2511" i="2"/>
  <c r="E2512" i="2"/>
  <c r="E2513" i="2"/>
  <c r="E2514" i="2"/>
  <c r="E2515" i="2"/>
  <c r="E2516" i="2"/>
  <c r="E2517" i="2"/>
  <c r="E2518" i="2"/>
  <c r="E2519" i="2"/>
  <c r="E2520" i="2"/>
  <c r="E2521" i="2"/>
  <c r="E2522" i="2"/>
  <c r="E2523" i="2"/>
  <c r="E2524" i="2"/>
  <c r="E2525" i="2"/>
  <c r="E2526" i="2"/>
  <c r="E2527" i="2"/>
  <c r="E2528" i="2"/>
  <c r="E2529" i="2"/>
  <c r="E2530" i="2"/>
  <c r="E2531" i="2"/>
  <c r="E2532" i="2"/>
  <c r="E2533" i="2"/>
  <c r="E2534" i="2"/>
  <c r="E2535" i="2"/>
  <c r="E2536" i="2"/>
  <c r="E2537" i="2"/>
  <c r="E2538" i="2"/>
  <c r="E2539" i="2"/>
  <c r="E2540" i="2"/>
  <c r="E2541" i="2"/>
  <c r="E2542" i="2"/>
  <c r="E2543" i="2"/>
  <c r="E2544" i="2"/>
  <c r="E2545" i="2"/>
  <c r="E2546" i="2"/>
  <c r="E2547" i="2"/>
  <c r="E2548" i="2"/>
  <c r="E2549" i="2"/>
  <c r="E2550" i="2"/>
  <c r="E2551" i="2"/>
  <c r="E2552" i="2"/>
  <c r="E2553" i="2"/>
  <c r="E2554" i="2"/>
  <c r="E2555" i="2"/>
  <c r="E2556" i="2"/>
  <c r="E2557" i="2"/>
  <c r="E2558" i="2"/>
  <c r="E2559" i="2"/>
  <c r="E2560" i="2"/>
  <c r="E2561" i="2"/>
  <c r="E2562" i="2"/>
  <c r="E2563" i="2"/>
  <c r="E2564" i="2"/>
  <c r="E2565" i="2"/>
  <c r="E2566" i="2"/>
  <c r="E2567" i="2"/>
  <c r="E2568" i="2"/>
  <c r="E2569" i="2"/>
  <c r="E2570" i="2"/>
  <c r="E2571" i="2"/>
  <c r="E2572" i="2"/>
  <c r="E2573" i="2"/>
  <c r="E2574" i="2"/>
  <c r="E2575" i="2"/>
  <c r="E2576" i="2"/>
  <c r="E2577" i="2"/>
  <c r="E2578" i="2"/>
  <c r="E2579" i="2"/>
  <c r="E2580" i="2"/>
  <c r="E2581" i="2"/>
  <c r="E2582" i="2"/>
  <c r="E2583" i="2"/>
  <c r="E2584" i="2"/>
  <c r="E2585" i="2"/>
  <c r="E2586" i="2"/>
  <c r="E2587" i="2"/>
  <c r="E2588" i="2"/>
  <c r="E2589" i="2"/>
  <c r="E2590" i="2"/>
  <c r="E2591" i="2"/>
  <c r="E2592" i="2"/>
  <c r="E2593" i="2"/>
  <c r="E2594" i="2"/>
  <c r="E2595" i="2"/>
  <c r="E2596" i="2"/>
  <c r="E2597" i="2"/>
  <c r="E2598" i="2"/>
  <c r="E2599" i="2"/>
  <c r="E2600" i="2"/>
  <c r="E2601" i="2"/>
  <c r="E2602" i="2"/>
  <c r="E2603" i="2"/>
  <c r="E2604" i="2"/>
  <c r="E2605" i="2"/>
  <c r="E2606" i="2"/>
  <c r="E2607" i="2"/>
  <c r="E2608" i="2"/>
  <c r="E2609" i="2"/>
  <c r="E2610" i="2"/>
  <c r="E2611" i="2"/>
  <c r="E2612" i="2"/>
  <c r="E2613" i="2"/>
  <c r="E2614" i="2"/>
  <c r="E2615" i="2"/>
  <c r="E2616" i="2"/>
  <c r="E2617" i="2"/>
  <c r="E2618" i="2"/>
  <c r="E2619" i="2"/>
  <c r="E2620" i="2"/>
  <c r="E2621" i="2"/>
  <c r="E2622" i="2"/>
  <c r="E2623" i="2"/>
  <c r="E2624" i="2"/>
  <c r="E2625" i="2"/>
  <c r="E2626" i="2"/>
  <c r="E2627" i="2"/>
  <c r="E2628" i="2"/>
  <c r="E2629" i="2"/>
  <c r="E2630" i="2"/>
  <c r="E2631" i="2"/>
  <c r="E2632" i="2"/>
  <c r="E2633" i="2"/>
  <c r="E2634" i="2"/>
  <c r="E2635" i="2"/>
  <c r="E2636" i="2"/>
  <c r="E2637" i="2"/>
  <c r="E2638" i="2"/>
  <c r="E2639" i="2"/>
  <c r="E2640" i="2"/>
  <c r="E2641" i="2"/>
  <c r="E2642" i="2"/>
  <c r="E2643" i="2"/>
  <c r="E2644" i="2"/>
  <c r="E2645" i="2"/>
  <c r="E2646" i="2"/>
  <c r="E2647" i="2"/>
  <c r="E2648" i="2"/>
  <c r="E2649" i="2"/>
  <c r="E2650" i="2"/>
  <c r="E2651" i="2"/>
  <c r="E2652" i="2"/>
  <c r="E2653" i="2"/>
  <c r="E2654" i="2"/>
  <c r="E2655" i="2"/>
  <c r="E2656" i="2"/>
  <c r="E2657" i="2"/>
  <c r="E2658" i="2"/>
  <c r="E2659" i="2"/>
  <c r="E2660" i="2"/>
  <c r="E2661" i="2"/>
  <c r="E2662" i="2"/>
  <c r="E2663" i="2"/>
  <c r="E2664" i="2"/>
  <c r="E2665" i="2"/>
  <c r="E2666" i="2"/>
  <c r="E2667" i="2"/>
  <c r="E2668" i="2"/>
  <c r="E2669" i="2"/>
  <c r="E2670" i="2"/>
  <c r="E2671" i="2"/>
  <c r="E2672" i="2"/>
  <c r="E2673" i="2"/>
  <c r="E2674" i="2"/>
  <c r="E2675" i="2"/>
  <c r="E2676" i="2"/>
  <c r="E2677" i="2"/>
  <c r="E2678" i="2"/>
  <c r="E2679" i="2"/>
  <c r="E2680" i="2"/>
  <c r="E2681" i="2"/>
  <c r="E2682" i="2"/>
  <c r="E2683" i="2"/>
  <c r="E2684" i="2"/>
  <c r="E2685" i="2"/>
  <c r="E2686" i="2"/>
  <c r="E2687" i="2"/>
  <c r="E2688" i="2"/>
  <c r="E2689" i="2"/>
  <c r="E2690" i="2"/>
  <c r="E2691" i="2"/>
  <c r="E2692" i="2"/>
  <c r="E2693" i="2"/>
  <c r="E2694" i="2"/>
  <c r="E2695" i="2"/>
  <c r="E2696" i="2"/>
  <c r="E2697" i="2"/>
  <c r="E2698" i="2"/>
  <c r="E2699" i="2"/>
  <c r="E2700" i="2"/>
  <c r="E2701" i="2"/>
  <c r="E2702" i="2"/>
  <c r="E2703" i="2"/>
  <c r="E2704" i="2"/>
  <c r="E2705" i="2"/>
  <c r="E2706" i="2"/>
  <c r="E2707" i="2"/>
  <c r="E2708" i="2"/>
  <c r="E2709" i="2"/>
  <c r="E2710" i="2"/>
  <c r="E2711" i="2"/>
  <c r="E2712" i="2"/>
  <c r="E2713" i="2"/>
  <c r="E2714" i="2"/>
  <c r="E2715" i="2"/>
  <c r="E2716" i="2"/>
  <c r="E2717" i="2"/>
  <c r="E2718" i="2"/>
  <c r="E2719" i="2"/>
  <c r="E2720" i="2"/>
  <c r="E2721" i="2"/>
  <c r="E2722" i="2"/>
  <c r="E2723" i="2"/>
  <c r="E2724" i="2"/>
  <c r="E2725" i="2"/>
</calcChain>
</file>

<file path=xl/sharedStrings.xml><?xml version="1.0" encoding="utf-8"?>
<sst xmlns="http://schemas.openxmlformats.org/spreadsheetml/2006/main" count="10905" uniqueCount="7368">
  <si>
    <t>国名</t>
  </si>
  <si>
    <t>公告期</t>
  </si>
  <si>
    <t>発表日</t>
  </si>
  <si>
    <t>商標番号</t>
  </si>
  <si>
    <t>商標名称</t>
  </si>
  <si>
    <t>申請人</t>
  </si>
  <si>
    <t>商品</t>
  </si>
  <si>
    <t>申請日</t>
  </si>
  <si>
    <t>No.</t>
    <phoneticPr fontId="1"/>
  </si>
  <si>
    <t>中国</t>
  </si>
  <si>
    <t>葡萄酒</t>
  </si>
  <si>
    <t>ALTO VUELO</t>
  </si>
  <si>
    <r>
      <t>罗萨尔</t>
    </r>
    <r>
      <rPr>
        <sz val="11"/>
        <color theme="1"/>
        <rFont val="ＭＳ Ｐゴシック"/>
        <family val="3"/>
        <charset val="128"/>
        <scheme val="minor"/>
      </rPr>
      <t>酒庄股份公司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</si>
  <si>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葡萄酒; 开胃酒; 汽酒</t>
    </r>
  </si>
  <si>
    <t>财</t>
  </si>
  <si>
    <r>
      <t>财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</si>
  <si>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葡萄酒; 清酒（日本米酒）; 食用酒精;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</si>
  <si>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伏特加酒; 食用酒精; 果酒（含酒精）; 朗姆酒;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</si>
  <si>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鱼</t>
    </r>
    <r>
      <rPr>
        <sz val="11"/>
        <color theme="1"/>
        <rFont val="ＭＳ Ｐゴシック"/>
        <family val="3"/>
        <charset val="128"/>
        <scheme val="minor"/>
      </rPr>
      <t>儿摘要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</si>
  <si>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州金沙窖酒酒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</si>
  <si>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</si>
  <si>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增酒 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源</t>
    </r>
    <r>
      <rPr>
        <sz val="11"/>
        <color theme="1"/>
        <rFont val="ＭＳ Ｐゴシック"/>
        <family val="3"/>
        <charset val="134"/>
        <scheme val="minor"/>
      </rPr>
      <t>滚滚</t>
    </r>
  </si>
  <si>
    <r>
      <t>杭州恭善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</si>
  <si>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</si>
  <si>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义门陈</t>
  </si>
  <si>
    <t>李震雨*****************X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</si>
  <si>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果酒; 苹果酒; 葡萄酒;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</si>
  <si>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大公</t>
    </r>
    <r>
      <rPr>
        <sz val="11"/>
        <color theme="1"/>
        <rFont val="ＭＳ Ｐゴシック"/>
        <family val="3"/>
        <charset val="134"/>
        <scheme val="minor"/>
      </rPr>
      <t>鸡</t>
    </r>
  </si>
  <si>
    <r>
      <t>上海奔卡酒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</si>
  <si>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开胃酒; 果酒（含酒精）</t>
    </r>
  </si>
  <si>
    <r>
      <t>君子</t>
    </r>
    <r>
      <rPr>
        <sz val="11"/>
        <color theme="1"/>
        <rFont val="ＭＳ Ｐゴシック"/>
        <family val="3"/>
        <charset val="134"/>
        <scheme val="minor"/>
      </rPr>
      <t>润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</si>
  <si>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市君子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</si>
  <si>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烈酒; 烈性干酒; 食用酒精; 白酒; 蒸煮提取物（利口酒和烈酒）;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</si>
  <si>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㵲阳河</t>
  </si>
  <si>
    <r>
      <t>姚元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</si>
  <si>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高粱酒;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</t>
    </r>
  </si>
  <si>
    <t>王妃家</t>
  </si>
  <si>
    <r>
      <t>上海好妃供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</si>
  <si>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薄荷酒;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</si>
  <si>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伏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加</t>
    </r>
  </si>
  <si>
    <t>刘俊世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</si>
  <si>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米酒; 露酒; 梅酒; 白酒; 威士忌</t>
    </r>
  </si>
  <si>
    <t>CVC CAIVICA CAIAIAC</t>
  </si>
  <si>
    <r>
      <t>晋江淼泓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</si>
  <si>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</si>
  <si>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HASHTAG FOOD</t>
  </si>
  <si>
    <r>
      <t>万科（上海）商用置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</si>
  <si>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伏特加酒; 苦味酒;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</t>
    </r>
  </si>
  <si>
    <r>
      <t>川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</si>
  <si>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诚泽</t>
    </r>
    <r>
      <rPr>
        <sz val="11"/>
        <color theme="1"/>
        <rFont val="ＭＳ Ｐゴシック"/>
        <family val="3"/>
        <charset val="128"/>
        <scheme val="minor"/>
      </rPr>
      <t>（天津）酒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</si>
  <si>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白酒; 黄酒; 开胃酒;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餐后酒（利口酒和烈酒）; 米酒</t>
    </r>
  </si>
  <si>
    <t>乾清花</t>
  </si>
  <si>
    <t>山西大清花酒厂股份有限公司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</si>
  <si>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</t>
    </r>
  </si>
  <si>
    <t>锦华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</si>
  <si>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镇锦华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</si>
  <si>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</si>
  <si>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图</t>
    </r>
    <r>
      <rPr>
        <sz val="11"/>
        <color theme="1"/>
        <rFont val="ＭＳ Ｐゴシック"/>
        <family val="3"/>
        <charset val="128"/>
        <scheme val="minor"/>
      </rPr>
      <t>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</si>
  <si>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在一心（深圳）国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</si>
  <si>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利口酒; 白酒; 米酒; 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</si>
  <si>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真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</si>
  <si>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州情景最藏酒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</si>
  <si>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</si>
  <si>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品韵</t>
  </si>
  <si>
    <r>
      <t>清流</t>
    </r>
    <r>
      <rPr>
        <sz val="11"/>
        <color theme="1"/>
        <rFont val="ＭＳ Ｐゴシック"/>
        <family val="3"/>
        <charset val="134"/>
        <scheme val="minor"/>
      </rPr>
      <t>县龙</t>
    </r>
    <r>
      <rPr>
        <sz val="11"/>
        <color theme="1"/>
        <rFont val="ＭＳ Ｐゴシック"/>
        <family val="3"/>
        <charset val="128"/>
        <scheme val="minor"/>
      </rPr>
      <t>津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蜜呢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</si>
  <si>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果酒（含酒精）;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</si>
  <si>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叙藏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</si>
  <si>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轻</t>
    </r>
    <r>
      <rPr>
        <sz val="11"/>
        <color theme="1"/>
        <rFont val="ＭＳ Ｐゴシック"/>
        <family val="3"/>
        <charset val="128"/>
        <scheme val="minor"/>
      </rPr>
      <t>盟信息科技有限公司</t>
    </r>
  </si>
  <si>
    <t>泉突泉</t>
  </si>
  <si>
    <r>
      <t>突泉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泉酒酒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</si>
  <si>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利口酒</t>
    </r>
  </si>
  <si>
    <t>神兔</t>
  </si>
  <si>
    <r>
      <t>刘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</si>
  <si>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清酒（日本米酒）</t>
    </r>
  </si>
  <si>
    <r>
      <t>传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琏</t>
    </r>
    <r>
      <rPr>
        <sz val="11"/>
        <color theme="1"/>
        <rFont val="ＭＳ Ｐゴシック"/>
        <family val="3"/>
        <charset val="128"/>
        <scheme val="minor"/>
      </rPr>
      <t xml:space="preserve"> </t>
    </r>
    <r>
      <rPr>
        <sz val="11"/>
        <color theme="1"/>
        <rFont val="ＭＳ Ｐゴシック"/>
        <family val="3"/>
        <charset val="134"/>
        <scheme val="minor"/>
      </rPr>
      <t>琏</t>
    </r>
    <r>
      <rPr>
        <sz val="11"/>
        <color theme="1"/>
        <rFont val="ＭＳ Ｐゴシック"/>
        <family val="3"/>
        <charset val="128"/>
        <scheme val="minor"/>
      </rPr>
      <t>30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</si>
  <si>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州研牌酒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</si>
  <si>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梦今</t>
    </r>
    <r>
      <rPr>
        <sz val="11"/>
        <color theme="1"/>
        <rFont val="ＭＳ Ｐゴシック"/>
        <family val="3"/>
        <charset val="134"/>
        <scheme val="minor"/>
      </rPr>
      <t>圆</t>
    </r>
  </si>
  <si>
    <t>王志桂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</si>
  <si>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</si>
  <si>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LA RAIA</t>
  </si>
  <si>
    <r>
      <t>拉雅</t>
    </r>
    <r>
      <rPr>
        <sz val="11"/>
        <color theme="1"/>
        <rFont val="ＭＳ Ｐゴシック"/>
        <family val="3"/>
        <charset val="134"/>
        <scheme val="minor"/>
      </rPr>
      <t>农业协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</si>
  <si>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葡萄酒</t>
    </r>
  </si>
  <si>
    <t>釂台</t>
  </si>
  <si>
    <r>
      <t>北京鑫哥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</si>
  <si>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米酒; 葡萄酒; 朗姆酒; 黄酒; 利口酒; 开胃酒</t>
    </r>
  </si>
  <si>
    <r>
      <t>永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天曲</t>
    </r>
  </si>
  <si>
    <r>
      <t>安徽永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</si>
  <si>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汽酒; 清酒; 米酒; 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</si>
  <si>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煮酒</t>
    </r>
    <r>
      <rPr>
        <sz val="11"/>
        <color theme="1"/>
        <rFont val="ＭＳ Ｐゴシック"/>
        <family val="3"/>
        <charset val="134"/>
        <scheme val="minor"/>
      </rPr>
      <t>论</t>
    </r>
    <r>
      <rPr>
        <sz val="11"/>
        <color theme="1"/>
        <rFont val="ＭＳ Ｐゴシック"/>
        <family val="3"/>
        <charset val="128"/>
        <scheme val="minor"/>
      </rPr>
      <t>三国</t>
    </r>
  </si>
  <si>
    <t>王利霞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</si>
  <si>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清酒（日本米酒）</t>
    </r>
  </si>
  <si>
    <r>
      <t>贝</t>
    </r>
    <r>
      <rPr>
        <sz val="11"/>
        <color theme="1"/>
        <rFont val="ＭＳ Ｐゴシック"/>
        <family val="3"/>
        <charset val="128"/>
        <scheme val="minor"/>
      </rPr>
      <t>拉王</t>
    </r>
  </si>
  <si>
    <t>倪玉霞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</si>
  <si>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威士忌</t>
    </r>
  </si>
  <si>
    <t>敬恩</t>
  </si>
  <si>
    <t>方荣</t>
  </si>
  <si>
    <r>
      <t>贵</t>
    </r>
    <r>
      <rPr>
        <sz val="11"/>
        <color theme="1"/>
        <rFont val="ＭＳ Ｐゴシック"/>
        <family val="3"/>
        <charset val="128"/>
        <scheme val="minor"/>
      </rPr>
      <t>有先</t>
    </r>
    <r>
      <rPr>
        <sz val="11"/>
        <color theme="1"/>
        <rFont val="ＭＳ Ｐゴシック"/>
        <family val="3"/>
        <charset val="134"/>
        <scheme val="minor"/>
      </rPr>
      <t>谋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</si>
  <si>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昌达投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</si>
  <si>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梅酒; 清酒; 白酒</t>
    </r>
  </si>
  <si>
    <r>
      <t>贡</t>
    </r>
    <r>
      <rPr>
        <sz val="11"/>
        <color theme="1"/>
        <rFont val="ＭＳ Ｐゴシック"/>
        <family val="3"/>
        <charset val="128"/>
        <scheme val="minor"/>
      </rPr>
      <t>潮</t>
    </r>
    <r>
      <rPr>
        <sz val="11"/>
        <color theme="1"/>
        <rFont val="ＭＳ Ｐゴシック"/>
        <family val="3"/>
        <charset val="134"/>
        <scheme val="minor"/>
      </rPr>
      <t>饮</t>
    </r>
  </si>
  <si>
    <r>
      <t>安徽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安信科</t>
    </r>
    <r>
      <rPr>
        <sz val="11"/>
        <color theme="1"/>
        <rFont val="ＭＳ Ｐゴシック"/>
        <family val="3"/>
        <charset val="134"/>
        <scheme val="minor"/>
      </rPr>
      <t>检测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</si>
  <si>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</si>
  <si>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r>
      <t>古越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亭</t>
    </r>
  </si>
  <si>
    <r>
      <t>浙江粮投粮油集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</si>
  <si>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</si>
  <si>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N NORDES GIN</t>
  </si>
  <si>
    <r>
      <t>奥斯本集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</si>
  <si>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t>杜松子酒</t>
  </si>
  <si>
    <t>博䤌</t>
  </si>
  <si>
    <r>
      <t>西藏圣松青稞酒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</si>
  <si>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黄酒; 米酒; 伏特加酒; 白酒;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</si>
  <si>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宝</t>
  </si>
  <si>
    <t>宝控股有限公司</t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</si>
  <si>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葡萄酒</t>
    </r>
  </si>
  <si>
    <t>卓越</t>
  </si>
  <si>
    <r>
      <t>泉州市洛江区双阳火林祥商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行</t>
    </r>
  </si>
  <si>
    <r>
      <t xml:space="preserve">米酒;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</si>
  <si>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道坊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</si>
  <si>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克敏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</si>
  <si>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白酒; 高粱酒; 果酒;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青稞酒; 食用酒精;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</si>
  <si>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金金稻</t>
  </si>
  <si>
    <r>
      <t>桂林湘山酒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</si>
  <si>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</si>
  <si>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老茅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 xml:space="preserve"> 老茅世家 LAOMOUSHUAI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</si>
  <si>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州老茅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</si>
  <si>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开胃酒;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</t>
    </r>
  </si>
  <si>
    <t>KUMPOO</t>
  </si>
  <si>
    <r>
      <t>广州市薰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体育用品有限公司</t>
    </r>
  </si>
  <si>
    <r>
      <t>米酒; 黄酒;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食用酒精;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</si>
  <si>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懂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</si>
  <si>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州董酒股份有限公司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</si>
  <si>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梨酒; 清酒（日本米酒）; 开胃酒; 餐后酒（利口酒和烈酒）; 葡萄酒; 果酒（含酒精）</t>
    </r>
  </si>
  <si>
    <r>
      <t>条</t>
    </r>
    <r>
      <rPr>
        <sz val="11"/>
        <color theme="1"/>
        <rFont val="ＭＳ Ｐゴシック"/>
        <family val="3"/>
        <charset val="134"/>
        <scheme val="minor"/>
      </rPr>
      <t>马</t>
    </r>
  </si>
  <si>
    <r>
      <t>条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食品科技（重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</si>
  <si>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果酒（含酒精）; 酸酒（低等葡萄酒）;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</si>
  <si>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TOPFINELY SINCE 1999</t>
  </si>
  <si>
    <r>
      <t>广州天金健康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</si>
  <si>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白干酒（中国白酒）; 青稞酒; 柑香酒;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</si>
  <si>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北媳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</si>
  <si>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</si>
  <si>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伏特加酒; 果酒; 甜酒; 梅酒; 白酒; 米酒</t>
    </r>
  </si>
  <si>
    <t>APPENZELLER BIER</t>
  </si>
  <si>
    <r>
      <t>洛赫</t>
    </r>
    <r>
      <rPr>
        <sz val="11"/>
        <color theme="1"/>
        <rFont val="ＭＳ Ｐゴシック"/>
        <family val="3"/>
        <charset val="134"/>
        <scheme val="minor"/>
      </rPr>
      <t>尔酿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</si>
  <si>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r>
      <t>葡萄酒; 杜松子酒;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开胃酒; 白酒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</si>
  <si>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骨</t>
    </r>
    <r>
      <rPr>
        <sz val="11"/>
        <color theme="1"/>
        <rFont val="ＭＳ Ｐゴシック"/>
        <family val="3"/>
        <charset val="134"/>
        <scheme val="minor"/>
      </rPr>
      <t>骏</t>
    </r>
  </si>
  <si>
    <r>
      <t>海耳</t>
    </r>
    <r>
      <rPr>
        <sz val="11"/>
        <color theme="1"/>
        <rFont val="ＭＳ Ｐゴシック"/>
        <family val="3"/>
        <charset val="134"/>
        <scheme val="minor"/>
      </rPr>
      <t>迈</t>
    </r>
    <r>
      <rPr>
        <sz val="11"/>
        <color theme="1"/>
        <rFont val="ＭＳ Ｐゴシック"/>
        <family val="3"/>
        <charset val="128"/>
        <scheme val="minor"/>
      </rPr>
      <t>耶（深圳）生物技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</si>
  <si>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蒸煮提取物（利口酒和烈酒）; 葡萄酒; 清酒（日本米酒）;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</si>
  <si>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高凉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</si>
  <si>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高州市天擎网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</si>
  <si>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</si>
  <si>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百家湖</t>
  </si>
  <si>
    <r>
      <t>郭</t>
    </r>
    <r>
      <rPr>
        <sz val="11"/>
        <color theme="1"/>
        <rFont val="ＭＳ Ｐゴシック"/>
        <family val="3"/>
        <charset val="134"/>
        <scheme val="minor"/>
      </rPr>
      <t>潇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</si>
  <si>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葡萄酒;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</si>
  <si>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清花</t>
    </r>
    <r>
      <rPr>
        <sz val="11"/>
        <color theme="1"/>
        <rFont val="ＭＳ Ｐゴシック"/>
        <family val="3"/>
        <charset val="134"/>
        <scheme val="minor"/>
      </rPr>
      <t>剑</t>
    </r>
  </si>
  <si>
    <r>
      <t>姬</t>
    </r>
    <r>
      <rPr>
        <sz val="11"/>
        <color theme="1"/>
        <rFont val="ＭＳ Ｐゴシック"/>
        <family val="3"/>
        <charset val="128"/>
        <scheme val="minor"/>
      </rPr>
      <t>文武</t>
    </r>
  </si>
  <si>
    <r>
      <t xml:space="preserve">伏特加酒; 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</si>
  <si>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康 秋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</si>
  <si>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</si>
  <si>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食用酒精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</si>
  <si>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康春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</si>
  <si>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</si>
  <si>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云霄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礼悉百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</si>
  <si>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果酒（含酒精）; 汽酒;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</si>
  <si>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九州昆</t>
    </r>
    <r>
      <rPr>
        <sz val="11"/>
        <color theme="1"/>
        <rFont val="ＭＳ Ｐゴシック"/>
        <family val="3"/>
        <charset val="134"/>
        <scheme val="minor"/>
      </rPr>
      <t>仑</t>
    </r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</si>
  <si>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楷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</si>
  <si>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白酒; 米酒;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</si>
  <si>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草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</si>
  <si>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</si>
  <si>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</t>
    </r>
  </si>
  <si>
    <t>鼎极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</si>
  <si>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市韵炅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</si>
  <si>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白酒;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</si>
  <si>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鉴贡</t>
  </si>
  <si>
    <r>
      <t>武夷山市点旺百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</si>
  <si>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</si>
  <si>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正天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</si>
  <si>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市衍尚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</si>
  <si>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白干酒（中国白酒）;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</t>
    </r>
  </si>
  <si>
    <t>狂尊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</si>
  <si>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葡萄酒; 食用酒精;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</si>
  <si>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澊</t>
  </si>
  <si>
    <r>
      <t>郭</t>
    </r>
    <r>
      <rPr>
        <sz val="11"/>
        <color theme="1"/>
        <rFont val="ＭＳ Ｐゴシック"/>
        <family val="3"/>
        <charset val="134"/>
        <scheme val="minor"/>
      </rPr>
      <t>晓锦</t>
    </r>
  </si>
  <si>
    <r>
      <t xml:space="preserve">食用酒精; 烈酒; 露酒;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</si>
  <si>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曲典</t>
  </si>
  <si>
    <r>
      <t>武夷山市悠容百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</si>
  <si>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威士忌;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</si>
  <si>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老茅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 xml:space="preserve"> 大茅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 xml:space="preserve"> LAOMOUSHUAI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</si>
  <si>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</t>
    </r>
  </si>
  <si>
    <t>香雪海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</si>
  <si>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苏寻鲜记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</si>
  <si>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青梅酒; 露酒; 果酒; 葡萄酒; 米酒; 黄酒; 梅酒</t>
    </r>
  </si>
  <si>
    <r>
      <t>杨树</t>
    </r>
    <r>
      <rPr>
        <sz val="11"/>
        <color theme="1"/>
        <rFont val="ＭＳ Ｐゴシック"/>
        <family val="3"/>
        <charset val="128"/>
        <scheme val="minor"/>
      </rPr>
      <t>岭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</si>
  <si>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垚</t>
    </r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</si>
  <si>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</si>
  <si>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迎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封</t>
    </r>
    <r>
      <rPr>
        <sz val="11"/>
        <color theme="1"/>
        <rFont val="ＭＳ Ｐゴシック"/>
        <family val="3"/>
        <charset val="134"/>
        <scheme val="minor"/>
      </rPr>
      <t>坛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</si>
  <si>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国威酒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</si>
  <si>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蒸煮提取物（利口酒和烈酒）; 食用酒精;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</si>
  <si>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迎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封藏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</si>
  <si>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</si>
  <si>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黄金黔城</t>
  </si>
  <si>
    <t>袁登洋</t>
  </si>
  <si>
    <r>
      <t xml:space="preserve">威士忌; 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</si>
  <si>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春醑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</si>
  <si>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崃</t>
    </r>
    <r>
      <rPr>
        <sz val="11"/>
        <color theme="1"/>
        <rFont val="ＭＳ Ｐゴシック"/>
        <family val="3"/>
        <charset val="128"/>
        <scheme val="minor"/>
      </rPr>
      <t>山源酒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</si>
  <si>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薄荷酒;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威士忌</t>
    </r>
  </si>
  <si>
    <t>众木</t>
  </si>
  <si>
    <r>
      <t>云南众木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</si>
  <si>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伏特加酒; 食用酒精;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苦味酒</t>
    </r>
  </si>
  <si>
    <r>
      <t>顺陈</t>
    </r>
    <r>
      <rPr>
        <sz val="11"/>
        <color theme="1"/>
        <rFont val="ＭＳ Ｐゴシック"/>
        <family val="3"/>
        <charset val="128"/>
        <scheme val="minor"/>
      </rPr>
      <t>坊</t>
    </r>
  </si>
  <si>
    <t>曾雷</t>
  </si>
  <si>
    <r>
      <t>清酒;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五加皮酒（中国混合烈酒）; 白酒;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白干酒（中国白酒）</t>
    </r>
  </si>
  <si>
    <r>
      <t>浚州</t>
    </r>
    <r>
      <rPr>
        <sz val="11"/>
        <color theme="1"/>
        <rFont val="ＭＳ Ｐゴシック"/>
        <family val="3"/>
        <charset val="134"/>
        <scheme val="minor"/>
      </rPr>
      <t>仓</t>
    </r>
  </si>
  <si>
    <t>李俊州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</si>
  <si>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白酒; 米酒; 黄酒; 果酒（含酒精）;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</si>
  <si>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守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仁</t>
    </r>
  </si>
  <si>
    <t>王春叶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</si>
  <si>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苹果酒; 白酒; 蜂蜜酒</t>
    </r>
  </si>
  <si>
    <t>倡牌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</si>
  <si>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州情景酒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</si>
  <si>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</si>
  <si>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老茅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 xml:space="preserve"> 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馆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</si>
  <si>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威士忌</t>
    </r>
  </si>
  <si>
    <r>
      <t>老茅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 xml:space="preserve"> 老茅公</t>
    </r>
    <r>
      <rPr>
        <sz val="11"/>
        <color theme="1"/>
        <rFont val="ＭＳ Ｐゴシック"/>
        <family val="3"/>
        <charset val="134"/>
        <scheme val="minor"/>
      </rPr>
      <t>馆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</si>
  <si>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</si>
  <si>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君亮</t>
  </si>
  <si>
    <t>黎洋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</si>
  <si>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蒸煮提取物（利口酒和烈酒）; 白酒; 黄酒; 清酒</t>
    </r>
  </si>
  <si>
    <t>17 SEVENTEEN LIGHT YEARS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</si>
  <si>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</si>
  <si>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黄酒; 威士忌;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葡萄酒; 青稞酒; 果酒（含酒精）; 汽酒; 白酒</t>
    </r>
  </si>
  <si>
    <t>晋康</t>
  </si>
  <si>
    <r>
      <t>果酒（含酒精）;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露酒; 米酒;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</t>
    </r>
  </si>
  <si>
    <r>
      <t>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府 MOUSHUAIFU</t>
    </r>
  </si>
  <si>
    <r>
      <t>开胃酒;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威士忌; 葡萄酒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</si>
  <si>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果酒（含酒精）; 葡萄酒; 开胃酒</t>
    </r>
  </si>
  <si>
    <r>
      <t>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府 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酒坊 MOUSHUAIFU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</si>
  <si>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</si>
  <si>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府 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公</t>
    </r>
    <r>
      <rPr>
        <sz val="11"/>
        <color theme="1"/>
        <rFont val="ＭＳ Ｐゴシック"/>
        <family val="3"/>
        <charset val="134"/>
        <scheme val="minor"/>
      </rPr>
      <t>馆</t>
    </r>
    <r>
      <rPr>
        <sz val="11"/>
        <color theme="1"/>
        <rFont val="ＭＳ Ｐゴシック"/>
        <family val="3"/>
        <charset val="128"/>
        <scheme val="minor"/>
      </rPr>
      <t xml:space="preserve"> MOUSHUAIFU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</si>
  <si>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</t>
    </r>
  </si>
  <si>
    <r>
      <t>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府 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馆</t>
    </r>
    <r>
      <rPr>
        <sz val="11"/>
        <color theme="1"/>
        <rFont val="ＭＳ Ｐゴシック"/>
        <family val="3"/>
        <charset val="128"/>
        <scheme val="minor"/>
      </rPr>
      <t xml:space="preserve"> MOUSHUAIFU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</si>
  <si>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</si>
  <si>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将</t>
    </r>
    <r>
      <rPr>
        <sz val="11"/>
        <color theme="1"/>
        <rFont val="ＭＳ Ｐゴシック"/>
        <family val="3"/>
        <charset val="134"/>
        <scheme val="minor"/>
      </rPr>
      <t>驰</t>
    </r>
  </si>
  <si>
    <r>
      <t>陆</t>
    </r>
    <r>
      <rPr>
        <sz val="11"/>
        <color theme="1"/>
        <rFont val="ＭＳ Ｐゴシック"/>
        <family val="3"/>
        <charset val="128"/>
        <scheme val="minor"/>
      </rPr>
      <t>国琴******************</t>
    </r>
  </si>
  <si>
    <r>
      <t>米酒; 青稞酒; 果酒（含酒精）; 开胃酒; 白酒;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柑香酒</t>
    </r>
  </si>
  <si>
    <r>
      <t>伊脉特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</si>
  <si>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子阳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</si>
  <si>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米酒</t>
    </r>
  </si>
  <si>
    <r>
      <t>一笑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</si>
  <si>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州百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</si>
  <si>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米酒; 开胃酒;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</si>
  <si>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冠</t>
  </si>
  <si>
    <t>武林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</si>
  <si>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烈酒; 黄酒; 加烈葡萄酒;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</si>
  <si>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老茅</t>
    </r>
    <r>
      <rPr>
        <sz val="11"/>
        <color theme="1"/>
        <rFont val="ＭＳ Ｐゴシック"/>
        <family val="3"/>
        <charset val="134"/>
        <scheme val="minor"/>
      </rPr>
      <t>帅</t>
    </r>
    <r>
      <rPr>
        <sz val="11"/>
        <color theme="1"/>
        <rFont val="ＭＳ Ｐゴシック"/>
        <family val="3"/>
        <charset val="128"/>
        <scheme val="minor"/>
      </rPr>
      <t xml:space="preserve"> LAOMOUSHUAI</t>
    </r>
  </si>
  <si>
    <r>
      <t xml:space="preserve">葡萄酒; 黄酒; 开胃酒;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</si>
  <si>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狄希千日</t>
  </si>
  <si>
    <r>
      <t>狄希文化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播（定州）有限公司</t>
    </r>
  </si>
  <si>
    <r>
      <t>茴芹酒（利口酒）;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梨酒; 果酒; 蒸煮提取物（利口酒和烈酒）; 米酒; 清酒（日本米酒）; 苹果酒; 白酒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</si>
  <si>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</si>
  <si>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广州鑫楚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汽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配件有限公司</t>
    </r>
  </si>
  <si>
    <r>
      <t xml:space="preserve">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白酒; 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</si>
  <si>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天下名人</t>
  </si>
  <si>
    <r>
      <t>成都天下名人假日酒店管理有限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</si>
  <si>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青稞酒; 葡萄酒; 威士忌; 清酒（日本米酒）</t>
    </r>
  </si>
  <si>
    <t>双江湖</t>
  </si>
  <si>
    <t>上海圣点品牌管理有限公司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</si>
  <si>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</si>
  <si>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老茅</t>
    </r>
    <r>
      <rPr>
        <sz val="11"/>
        <color theme="1"/>
        <rFont val="ＭＳ Ｐゴシック"/>
        <family val="3"/>
        <charset val="134"/>
        <scheme val="minor"/>
      </rPr>
      <t>帅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</si>
  <si>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</si>
  <si>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虎</t>
    </r>
    <r>
      <rPr>
        <sz val="11"/>
        <color theme="1"/>
        <rFont val="ＭＳ Ｐゴシック"/>
        <family val="3"/>
        <charset val="134"/>
        <scheme val="minor"/>
      </rPr>
      <t>标飞</t>
    </r>
    <r>
      <rPr>
        <sz val="11"/>
        <color theme="1"/>
        <rFont val="ＭＳ Ｐゴシック"/>
        <family val="3"/>
        <charset val="128"/>
        <scheme val="minor"/>
      </rPr>
      <t>虎</t>
    </r>
  </si>
  <si>
    <r>
      <t>香港虎</t>
    </r>
    <r>
      <rPr>
        <sz val="11"/>
        <color theme="1"/>
        <rFont val="ＭＳ Ｐゴシック"/>
        <family val="3"/>
        <charset val="134"/>
        <scheme val="minor"/>
      </rPr>
      <t>标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</si>
  <si>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露酒;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威士忌; 清酒; 葡萄酒; 白酒</t>
    </r>
  </si>
  <si>
    <t>助道</t>
  </si>
  <si>
    <r>
      <t>北京助成国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</si>
  <si>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烈酒; 高粱酒; 黄酒</t>
    </r>
  </si>
  <si>
    <t>若</t>
  </si>
  <si>
    <r>
      <t>杨</t>
    </r>
    <r>
      <rPr>
        <sz val="11"/>
        <color theme="1"/>
        <rFont val="ＭＳ Ｐゴシック"/>
        <family val="3"/>
        <charset val="128"/>
        <scheme val="minor"/>
      </rPr>
      <t>博</t>
    </r>
  </si>
  <si>
    <r>
      <t>白葡萄酒; 白干酒（中国白酒）; 烈酒;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果酒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</si>
  <si>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菜西煮</t>
    </r>
  </si>
  <si>
    <r>
      <t>杭州鄙</t>
    </r>
    <r>
      <rPr>
        <sz val="11"/>
        <color theme="1"/>
        <rFont val="ＭＳ Ｐゴシック"/>
        <family val="3"/>
        <charset val="134"/>
        <scheme val="minor"/>
      </rPr>
      <t>诚贸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</si>
  <si>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t>葡萄酒; 果酒; 烈酒; 甜酒; 黄酒; 开胃酒; 白酒; 佐餐酒; 清酒（日本米酒）; 餐后酒（利口酒和烈酒）</t>
  </si>
  <si>
    <r>
      <t>贵</t>
    </r>
    <r>
      <rPr>
        <sz val="11"/>
        <color theme="1"/>
        <rFont val="ＭＳ Ｐゴシック"/>
        <family val="3"/>
        <charset val="128"/>
        <scheme val="minor"/>
      </rPr>
      <t>之樽</t>
    </r>
  </si>
  <si>
    <r>
      <t>张晓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</si>
  <si>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果酒（含酒精）; 米酒;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白酒</t>
    </r>
  </si>
  <si>
    <t>成功美</t>
  </si>
  <si>
    <r>
      <t>冉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勇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</si>
  <si>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五加皮酒（中国混合烈酒）; 高粱酒;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白酒; 米酒; 黄酒; 蒸煮提取物（利口酒和烈酒）</t>
    </r>
  </si>
  <si>
    <r>
      <t>精忠</t>
    </r>
    <r>
      <rPr>
        <sz val="11"/>
        <color theme="1"/>
        <rFont val="ＭＳ Ｐゴシック"/>
        <family val="3"/>
        <charset val="134"/>
        <scheme val="minor"/>
      </rPr>
      <t>战</t>
    </r>
    <r>
      <rPr>
        <sz val="11"/>
        <color theme="1"/>
        <rFont val="ＭＳ Ｐゴシック"/>
        <family val="3"/>
        <charset val="128"/>
        <scheme val="minor"/>
      </rPr>
      <t>神岳武穆王</t>
    </r>
  </si>
  <si>
    <t>李金花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</si>
  <si>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清酒;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</t>
    </r>
  </si>
  <si>
    <t>生力源福</t>
  </si>
  <si>
    <r>
      <t>泰安市生力源酒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</si>
  <si>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果酒</t>
    </r>
  </si>
  <si>
    <t>金耀</t>
  </si>
  <si>
    <r>
      <t>周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海******************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</si>
  <si>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米酒; 青稞酒;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</si>
  <si>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茅</t>
    </r>
    <r>
      <rPr>
        <sz val="11"/>
        <color theme="1"/>
        <rFont val="ＭＳ Ｐゴシック"/>
        <family val="3"/>
        <charset val="134"/>
        <scheme val="minor"/>
      </rPr>
      <t>帅烧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</si>
  <si>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</si>
  <si>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SENGO SNOWLAND HOTEL 森戈康穹大酒店</t>
  </si>
  <si>
    <t>西藏森戈大酒店管理有限公司</t>
  </si>
  <si>
    <r>
      <t xml:space="preserve">利口酒; 米酒;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果酒（含酒精）;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</si>
  <si>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双溪楼</t>
  </si>
  <si>
    <t>黄兆斌</t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</si>
  <si>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</t>
    </r>
  </si>
  <si>
    <r>
      <t>诗壶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</si>
  <si>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白干酒（中国白酒）; 果酒（含酒精）;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</si>
  <si>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水牛</t>
    </r>
  </si>
  <si>
    <r>
      <t>广西桂小牛乳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</si>
  <si>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苹果酒;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</si>
  <si>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礼</t>
    </r>
    <r>
      <rPr>
        <sz val="11"/>
        <color theme="1"/>
        <rFont val="ＭＳ Ｐゴシック"/>
        <family val="3"/>
        <charset val="134"/>
        <scheme val="minor"/>
      </rPr>
      <t>谈</t>
    </r>
    <r>
      <rPr>
        <sz val="11"/>
        <color theme="1"/>
        <rFont val="ＭＳ Ｐゴシック"/>
        <family val="3"/>
        <charset val="128"/>
        <scheme val="minor"/>
      </rPr>
      <t>清 YEDAMCHEONG</t>
    </r>
  </si>
  <si>
    <t>株式会社麹醇堂</t>
  </si>
  <si>
    <r>
      <t xml:space="preserve">清酒（日本米酒）;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</si>
  <si>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r>
      <t>玛</t>
    </r>
    <r>
      <rPr>
        <sz val="11"/>
        <color theme="1"/>
        <rFont val="ＭＳ Ｐゴシック"/>
        <family val="3"/>
        <charset val="128"/>
        <scheme val="minor"/>
      </rPr>
      <t>吉姆</t>
    </r>
  </si>
  <si>
    <r>
      <t>左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扎玉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然巴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民种养殖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</si>
  <si>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朗姆酒; 葡萄酒; 果酒（含酒精）; 苦味酒;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伏特加酒</t>
    </r>
  </si>
  <si>
    <r>
      <t>嘎喜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</si>
  <si>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>西藏嘎喜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杰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</si>
  <si>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茴芹酒（利口酒）; 利口酒; 白酒; 食用酒精; 茴香酒（利口酒）; 开胃酒;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</si>
  <si>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 xml:space="preserve">清酒;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</si>
  <si>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古井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 V6</t>
    </r>
  </si>
  <si>
    <r>
      <t>安徽古井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</si>
  <si>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果酒（含酒精）; 朗姆酒; 葡萄酒</t>
    </r>
  </si>
  <si>
    <t>D-HRSSC</t>
  </si>
  <si>
    <r>
      <t>北京</t>
    </r>
    <r>
      <rPr>
        <sz val="11"/>
        <color theme="1"/>
        <rFont val="ＭＳ Ｐゴシック"/>
        <family val="3"/>
        <charset val="129"/>
        <scheme val="minor"/>
      </rPr>
      <t>嘀嘀</t>
    </r>
    <r>
      <rPr>
        <sz val="11"/>
        <color theme="1"/>
        <rFont val="ＭＳ Ｐゴシック"/>
        <family val="3"/>
        <charset val="128"/>
        <scheme val="minor"/>
      </rPr>
      <t>无限科技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</si>
  <si>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伏特加酒; 白酒; 汽酒; 食用酒精;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</t>
    </r>
  </si>
  <si>
    <t>京加坊 用心有料 加倍安心</t>
  </si>
  <si>
    <r>
      <t>上海晟达元信息技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</si>
  <si>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</si>
  <si>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惠</t>
    </r>
  </si>
  <si>
    <r>
      <t>福建省古乾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</si>
  <si>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葡萄酒</t>
    </r>
  </si>
  <si>
    <t>春州洞藏</t>
  </si>
  <si>
    <r>
      <t>阳春市九州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匠种养殖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</si>
  <si>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黄酒; 白酒; 葡萄酒</t>
    </r>
  </si>
  <si>
    <t>柒悦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</si>
  <si>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柒越酒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</si>
  <si>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黄酒; 利口酒; 米酒</t>
    </r>
  </si>
  <si>
    <r>
      <t>调</t>
    </r>
    <r>
      <rPr>
        <sz val="11"/>
        <color theme="1"/>
        <rFont val="ＭＳ Ｐゴシック"/>
        <family val="3"/>
        <charset val="128"/>
        <scheme val="minor"/>
      </rPr>
      <t>元手</t>
    </r>
  </si>
  <si>
    <r>
      <t>慈葫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</si>
  <si>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青梅酒; 米酒; 甜酒; 白酒; 高粱酒; 果酒（含酒精）; 黄酒; 青稞酒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</si>
  <si>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旗坡</t>
    </r>
  </si>
  <si>
    <r>
      <t>新疆不忘初心酒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</si>
  <si>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果酒; 清酒; 食用酒精;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白酒</t>
    </r>
  </si>
  <si>
    <r>
      <t>缴</t>
    </r>
    <r>
      <rPr>
        <sz val="11"/>
        <color theme="1"/>
        <rFont val="ＭＳ Ｐゴシック"/>
        <family val="3"/>
        <charset val="128"/>
        <scheme val="minor"/>
      </rPr>
      <t>封老酒</t>
    </r>
  </si>
  <si>
    <r>
      <t>魏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</si>
  <si>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 xml:space="preserve">果酒（含酒精）;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</si>
  <si>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JARLLEAGUE 名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</si>
  <si>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汕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市名</t>
    </r>
    <r>
      <rPr>
        <sz val="11"/>
        <color theme="1"/>
        <rFont val="ＭＳ Ｐゴシック"/>
        <family val="3"/>
        <charset val="134"/>
        <scheme val="minor"/>
      </rPr>
      <t>乔贸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</si>
  <si>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清酒（日本米酒）; 米酒; 葡萄酒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</si>
  <si>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西西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</si>
  <si>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果酒（含酒精）;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</si>
  <si>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MC</t>
  </si>
  <si>
    <r>
      <t>慈溪市</t>
    </r>
    <r>
      <rPr>
        <sz val="11"/>
        <color theme="1"/>
        <rFont val="ＭＳ Ｐゴシック"/>
        <family val="3"/>
        <charset val="134"/>
        <scheme val="minor"/>
      </rPr>
      <t>闪</t>
    </r>
    <r>
      <rPr>
        <sz val="11"/>
        <color theme="1"/>
        <rFont val="ＭＳ Ｐゴシック"/>
        <family val="3"/>
        <charset val="128"/>
        <scheme val="minor"/>
      </rPr>
      <t>箭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子科技有限公司</t>
    </r>
  </si>
  <si>
    <r>
      <t xml:space="preserve">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梅酒; 露酒; 黄酒; 白酒; 甜酒; 果酒</t>
    </r>
  </si>
  <si>
    <t>黄金叶金枝粮液</t>
  </si>
  <si>
    <r>
      <t>安徽幸福小九酒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</si>
  <si>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烈酒;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</si>
  <si>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州茅台酒厂（集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</si>
  <si>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</si>
  <si>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九茗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</si>
  <si>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市九茗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文化有限公司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</si>
  <si>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开胃酒; 汽酒; 米酒;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</si>
  <si>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校友故事</t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</si>
  <si>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久一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</si>
  <si>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青稞酒; 白酒; 高粱酒;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</si>
  <si>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启明国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控股（广州）有限公司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</si>
  <si>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伏特加酒; 米酒; 开胃酒; 果酒（含酒精）;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</si>
  <si>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r>
      <t>茅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</si>
  <si>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清酒（日本米酒）; 果酒（含酒精）; 白酒</t>
    </r>
  </si>
  <si>
    <r>
      <t>西</t>
    </r>
    <r>
      <rPr>
        <sz val="11"/>
        <color theme="1"/>
        <rFont val="ＭＳ Ｐゴシック"/>
        <family val="3"/>
        <charset val="134"/>
        <scheme val="minor"/>
      </rPr>
      <t>凤陈坛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</si>
  <si>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</t>
    </r>
  </si>
  <si>
    <t>拾千</t>
  </si>
  <si>
    <t>上海两个瓢信息科技有限公司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</si>
  <si>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</si>
  <si>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西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年份御藏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</si>
  <si>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</si>
  <si>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甘来井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</si>
  <si>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佰嘉盈</t>
    </r>
    <r>
      <rPr>
        <sz val="11"/>
        <color theme="1"/>
        <rFont val="ＭＳ Ｐゴシック"/>
        <family val="3"/>
        <charset val="134"/>
        <scheme val="minor"/>
      </rPr>
      <t>阀业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</si>
  <si>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烈性干酒;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</si>
  <si>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茗榷1号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</si>
  <si>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州精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佳合</t>
    </r>
    <r>
      <rPr>
        <sz val="11"/>
        <color theme="1"/>
        <rFont val="ＭＳ Ｐゴシック"/>
        <family val="3"/>
        <charset val="134"/>
        <scheme val="minor"/>
      </rPr>
      <t>劳务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</si>
  <si>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梅酒; 白酒;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甜酒; 白干酒（中国白酒）; 高粱酒; 梨酒;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</si>
  <si>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城</t>
    </r>
    <r>
      <rPr>
        <sz val="11"/>
        <color theme="1"/>
        <rFont val="ＭＳ Ｐゴシック"/>
        <family val="3"/>
        <charset val="134"/>
        <scheme val="minor"/>
      </rPr>
      <t>头乡</t>
    </r>
    <r>
      <rPr>
        <sz val="11"/>
        <color theme="1"/>
        <rFont val="ＭＳ Ｐゴシック"/>
        <family val="3"/>
        <charset val="128"/>
        <scheme val="minor"/>
      </rPr>
      <t>俚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</si>
  <si>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市城市建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土地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</si>
  <si>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食用酒精; 威士忌; 米酒; 利口酒; 蜂蜜酒;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</si>
  <si>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泛台</t>
  </si>
  <si>
    <r>
      <t>刘新</t>
    </r>
    <r>
      <rPr>
        <sz val="11"/>
        <color theme="1"/>
        <rFont val="ＭＳ Ｐゴシック"/>
        <family val="3"/>
        <charset val="134"/>
        <scheme val="minor"/>
      </rPr>
      <t>环</t>
    </r>
  </si>
  <si>
    <r>
      <t xml:space="preserve">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白干酒（中国白酒）; 米酒; 黄酒; 果酒（含酒精）; 食用酒精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</si>
  <si>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西建工控股集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</si>
  <si>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蜂蜜酒; 葡萄汽酒; 开胃酒; 朗姆酒;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烈酒; 甜酒;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</si>
  <si>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同城 星期五</t>
  </si>
  <si>
    <r>
      <t>李洪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</si>
  <si>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威士忌;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白酒; 五加皮酒（中国混合烈酒）;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</si>
  <si>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猫云卡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</si>
  <si>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猫智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</si>
  <si>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米酒; 白酒; 薄荷酒;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黄酒; 清酒（日本米酒）</t>
    </r>
  </si>
  <si>
    <t>南水恩洑汁情</t>
  </si>
  <si>
    <r>
      <t>北京至忠和企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</si>
  <si>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葡萄酒; 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果酒; 梅酒; 青梅酒; 露酒;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</si>
  <si>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樽酒伍</t>
    </r>
    <r>
      <rPr>
        <sz val="11"/>
        <color theme="1"/>
        <rFont val="ＭＳ Ｐゴシック"/>
        <family val="3"/>
        <charset val="134"/>
        <scheme val="minor"/>
      </rPr>
      <t>贰</t>
    </r>
    <r>
      <rPr>
        <sz val="11"/>
        <color theme="1"/>
        <rFont val="ＭＳ Ｐゴシック"/>
        <family val="3"/>
        <charset val="128"/>
        <scheme val="minor"/>
      </rPr>
      <t>零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</si>
  <si>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州樽酒</t>
    </r>
    <r>
      <rPr>
        <sz val="11"/>
        <color theme="1"/>
        <rFont val="ＭＳ Ｐゴシック"/>
        <family val="3"/>
        <charset val="134"/>
        <scheme val="minor"/>
      </rPr>
      <t>论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</si>
  <si>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</si>
  <si>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t>太打白酒</t>
  </si>
  <si>
    <t>小刻咖啡（北京）有限公司</t>
  </si>
  <si>
    <r>
      <t>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食用酒精; 白酒; 汽酒;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</si>
  <si>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头饼</t>
    </r>
    <r>
      <rPr>
        <sz val="11"/>
        <color theme="1"/>
        <rFont val="ＭＳ Ｐゴシック"/>
        <family val="3"/>
        <charset val="128"/>
        <scheme val="minor"/>
      </rPr>
      <t>米酒</t>
    </r>
  </si>
  <si>
    <t>詹妃倩</t>
  </si>
  <si>
    <r>
      <t>葡萄酒;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</si>
  <si>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心祥</t>
  </si>
  <si>
    <t>程孝礼</t>
  </si>
  <si>
    <t>白酒; 米酒; 食用酒精</t>
  </si>
  <si>
    <r>
      <t>凤</t>
    </r>
    <r>
      <rPr>
        <sz val="11"/>
        <color theme="1"/>
        <rFont val="ＭＳ Ｐゴシック"/>
        <family val="3"/>
        <charset val="128"/>
        <scheme val="minor"/>
      </rPr>
      <t>酒之魂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</si>
  <si>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</si>
  <si>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臻御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凰</t>
    </r>
  </si>
  <si>
    <t>刘春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</si>
  <si>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</si>
  <si>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知交繁星</t>
    </r>
    <r>
      <rPr>
        <sz val="11"/>
        <color theme="1"/>
        <rFont val="ＭＳ Ｐゴシック"/>
        <family val="3"/>
        <charset val="134"/>
        <scheme val="minor"/>
      </rPr>
      <t>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</si>
  <si>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习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</si>
  <si>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梨酒;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</si>
  <si>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知交尊品</t>
  </si>
  <si>
    <r>
      <t xml:space="preserve">米酒; 黄酒; 白酒; 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</si>
  <si>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斌旺酒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 xml:space="preserve"> BINWANG WINE INDUSTRY</t>
    </r>
  </si>
  <si>
    <r>
      <t>毕节</t>
    </r>
    <r>
      <rPr>
        <sz val="11"/>
        <color theme="1"/>
        <rFont val="ＭＳ Ｐゴシック"/>
        <family val="3"/>
        <charset val="128"/>
        <scheme val="minor"/>
      </rPr>
      <t>市斌旺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</si>
  <si>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柑香酒;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</si>
  <si>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TIXBAR</t>
  </si>
  <si>
    <r>
      <t>同</t>
    </r>
    <r>
      <rPr>
        <sz val="11"/>
        <color theme="1"/>
        <rFont val="ＭＳ Ｐゴシック"/>
        <family val="3"/>
        <charset val="134"/>
        <scheme val="minor"/>
      </rPr>
      <t>尘</t>
    </r>
    <r>
      <rPr>
        <sz val="11"/>
        <color theme="1"/>
        <rFont val="ＭＳ Ｐゴシック"/>
        <family val="3"/>
        <charset val="128"/>
        <scheme val="minor"/>
      </rPr>
      <t>(厦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)文化投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</si>
  <si>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杜松子酒; 混合威士忌酒;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朗姆酒;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</si>
  <si>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DC EXPORT</t>
  </si>
  <si>
    <r>
      <t>贾</t>
    </r>
    <r>
      <rPr>
        <sz val="11"/>
        <color theme="1"/>
        <rFont val="ＭＳ Ｐゴシック"/>
        <family val="3"/>
        <charset val="128"/>
        <scheme val="minor"/>
      </rPr>
      <t>鑫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</si>
  <si>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开胃酒;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甜酒; 白酒</t>
    </r>
  </si>
  <si>
    <r>
      <t>知交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晨暮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</si>
  <si>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蒸煮提取物（利口酒和烈酒）; 白干酒（中国白酒）</t>
    </r>
  </si>
  <si>
    <t>剑贡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</si>
  <si>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竹</t>
    </r>
    <r>
      <rPr>
        <sz val="11"/>
        <color theme="1"/>
        <rFont val="ＭＳ Ｐゴシック"/>
        <family val="3"/>
        <charset val="134"/>
        <scheme val="minor"/>
      </rPr>
      <t>剑</t>
    </r>
    <r>
      <rPr>
        <sz val="11"/>
        <color theme="1"/>
        <rFont val="ＭＳ Ｐゴシック"/>
        <family val="3"/>
        <charset val="128"/>
        <scheme val="minor"/>
      </rPr>
      <t>南春酒厂有限公司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</si>
  <si>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果酒（含酒精）;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</si>
  <si>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丝</t>
    </r>
    <r>
      <rPr>
        <sz val="11"/>
        <color theme="1"/>
        <rFont val="ＭＳ Ｐゴシック"/>
        <family val="3"/>
        <charset val="128"/>
        <scheme val="minor"/>
      </rPr>
      <t>路流年葡萄酒</t>
    </r>
  </si>
  <si>
    <r>
      <t>宁夏圣</t>
    </r>
    <r>
      <rPr>
        <sz val="11"/>
        <color theme="1"/>
        <rFont val="ＭＳ Ｐゴシック"/>
        <family val="3"/>
        <charset val="134"/>
        <scheme val="minor"/>
      </rPr>
      <t>沣农业发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</si>
  <si>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</si>
  <si>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日本国</t>
    </r>
    <r>
      <rPr>
        <sz val="11"/>
        <color theme="1"/>
        <rFont val="ＭＳ Ｐゴシック"/>
        <family val="3"/>
        <charset val="134"/>
        <scheme val="minor"/>
      </rPr>
      <t>鸟</t>
    </r>
    <r>
      <rPr>
        <sz val="11"/>
        <color theme="1"/>
        <rFont val="ＭＳ Ｐゴシック"/>
        <family val="3"/>
        <charset val="128"/>
        <scheme val="minor"/>
      </rPr>
      <t>取</t>
    </r>
    <r>
      <rPr>
        <sz val="11"/>
        <color theme="1"/>
        <rFont val="ＭＳ Ｐゴシック"/>
        <family val="3"/>
        <charset val="134"/>
        <scheme val="minor"/>
      </rPr>
      <t>县</t>
    </r>
  </si>
  <si>
    <r>
      <t>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清酒（日本米酒）;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</si>
  <si>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知交青琴</t>
  </si>
  <si>
    <r>
      <t>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</si>
  <si>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玉羊牌</t>
  </si>
  <si>
    <r>
      <t>天津津酒集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</si>
  <si>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葡萄酒; 开胃酒;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</si>
  <si>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明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</si>
  <si>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>广州市从化太平明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</si>
  <si>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黄酒; 果酒; 烈酒; 甜酒</t>
    </r>
  </si>
  <si>
    <t>雪狼谷</t>
  </si>
  <si>
    <t>周余芹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</si>
  <si>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开胃酒; 威士忌;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</si>
  <si>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康滋媄</t>
  </si>
  <si>
    <r>
      <t>江西省千</t>
    </r>
    <r>
      <rPr>
        <sz val="11"/>
        <color theme="1"/>
        <rFont val="ＭＳ Ｐゴシック"/>
        <family val="3"/>
        <charset val="134"/>
        <scheme val="minor"/>
      </rPr>
      <t>岁农</t>
    </r>
    <r>
      <rPr>
        <sz val="11"/>
        <color theme="1"/>
        <rFont val="ＭＳ Ｐゴシック"/>
        <family val="3"/>
        <charset val="128"/>
        <scheme val="minor"/>
      </rPr>
      <t>林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</si>
  <si>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米酒; 果酒（含酒精）</t>
    </r>
  </si>
  <si>
    <t>RUINY</t>
  </si>
  <si>
    <r>
      <t>罗</t>
    </r>
    <r>
      <rPr>
        <sz val="11"/>
        <color theme="1"/>
        <rFont val="ＭＳ Ｐゴシック"/>
        <family val="3"/>
        <charset val="128"/>
        <scheme val="minor"/>
      </rPr>
      <t>雨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然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</si>
  <si>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利口酒; 清酒; 米酒; 汽酒; 黄酒; 果酒; 葡萄酒</t>
    </r>
  </si>
  <si>
    <t>盈养食代</t>
  </si>
  <si>
    <t>合肥中科易生健康科技有限公司</t>
  </si>
  <si>
    <r>
      <t>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甜果酒; 黄酒</t>
    </r>
  </si>
  <si>
    <t>花江峡谷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</si>
  <si>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州安旅旅游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</si>
  <si>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t>白酒; 果酒（含酒精）</t>
  </si>
  <si>
    <r>
      <t>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回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汾酒</t>
    </r>
  </si>
  <si>
    <t>山西杏花村汾酒厂股份有限公司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</si>
  <si>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</si>
  <si>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汾酒真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回</t>
    </r>
    <r>
      <rPr>
        <sz val="11"/>
        <color theme="1"/>
        <rFont val="ＭＳ Ｐゴシック"/>
        <family val="3"/>
        <charset val="134"/>
        <scheme val="minor"/>
      </rPr>
      <t>归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</si>
  <si>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蒸煮提取物（利口酒和烈酒）</t>
    </r>
  </si>
  <si>
    <r>
      <t>三利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刀</t>
    </r>
  </si>
  <si>
    <r>
      <t>四平市三利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</si>
  <si>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露酒; 刺五加酒;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高粱酒;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</si>
  <si>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荣太和小将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</si>
  <si>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州荣太和枸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</si>
  <si>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</t>
    </r>
  </si>
  <si>
    <t>蔗礼</t>
  </si>
  <si>
    <r>
      <t>张</t>
    </r>
    <r>
      <rPr>
        <sz val="11"/>
        <color theme="1"/>
        <rFont val="ＭＳ Ｐゴシック"/>
        <family val="3"/>
        <charset val="128"/>
        <scheme val="minor"/>
      </rPr>
      <t>王磊</t>
    </r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</si>
  <si>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甘蔗制烈酒;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</si>
  <si>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t>碧春酒庄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</si>
  <si>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州碧春酒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</si>
  <si>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餐后酒（利口酒和烈酒）; 露酒;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</si>
  <si>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NIGHTWINEWINE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</si>
  <si>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州达塔菲商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</si>
  <si>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餐后酒（利口酒和烈酒）; 清酒（日本米酒）;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</si>
  <si>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通商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</si>
  <si>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黄酒; 白干酒（中国白酒）;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</t>
    </r>
  </si>
  <si>
    <t>美懋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</si>
  <si>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甜酒; 混合威士忌酒;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白酒; 白葡萄酒</t>
    </r>
  </si>
  <si>
    <r>
      <t>月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山</t>
    </r>
  </si>
  <si>
    <t>李勤国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</si>
  <si>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青梅酒; 米酒; 蜂蜜酒;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</si>
  <si>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慧有米</t>
  </si>
  <si>
    <r>
      <t>安徽慧有米</t>
    </r>
    <r>
      <rPr>
        <sz val="11"/>
        <color theme="1"/>
        <rFont val="ＭＳ Ｐゴシック"/>
        <family val="3"/>
        <charset val="134"/>
        <scheme val="minor"/>
      </rPr>
      <t>财务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</si>
  <si>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威士忌</t>
    </r>
  </si>
  <si>
    <t>1096星宿派道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</si>
  <si>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市必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之医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器械有限公司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</si>
  <si>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梅酒; 草莓酒; 佐餐酒;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青梅酒; 利口酒; 梨酒; 威士忌;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刺五加酒;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青稞酒; 薄荷酒; 开胃酒; 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甜酒; 松叶酒;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汽酒; 苹果酒; 杜松子酒;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</si>
  <si>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驰</t>
    </r>
    <r>
      <rPr>
        <sz val="11"/>
        <color theme="1"/>
        <rFont val="ＭＳ Ｐゴシック"/>
        <family val="3"/>
        <charset val="128"/>
        <scheme val="minor"/>
      </rPr>
      <t>米</t>
    </r>
  </si>
  <si>
    <t>徐大勇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</si>
  <si>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日式甜米酒; 黄酒;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</t>
    </r>
  </si>
  <si>
    <t>日之精酒</t>
  </si>
  <si>
    <r>
      <t>西安</t>
    </r>
    <r>
      <rPr>
        <sz val="11"/>
        <color theme="1"/>
        <rFont val="ＭＳ Ｐゴシック"/>
        <family val="3"/>
        <charset val="134"/>
        <scheme val="minor"/>
      </rPr>
      <t>觅</t>
    </r>
    <r>
      <rPr>
        <sz val="11"/>
        <color theme="1"/>
        <rFont val="ＭＳ Ｐゴシック"/>
        <family val="3"/>
        <charset val="128"/>
        <scheme val="minor"/>
      </rPr>
      <t>秦企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</si>
  <si>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白酒; 青梅酒; 高粱酒; 露酒;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米酒; 青稞酒; 蜂蜜酒</t>
    </r>
  </si>
  <si>
    <t>力播</t>
  </si>
  <si>
    <r>
      <t>一九技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</si>
  <si>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米酒</t>
    </r>
  </si>
  <si>
    <r>
      <t>CAE EXPO XINJIANG 中国-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欧博</t>
    </r>
    <r>
      <rPr>
        <sz val="11"/>
        <color theme="1"/>
        <rFont val="ＭＳ Ｐゴシック"/>
        <family val="3"/>
        <charset val="134"/>
        <scheme val="minor"/>
      </rPr>
      <t>览</t>
    </r>
    <r>
      <rPr>
        <sz val="11"/>
        <color theme="1"/>
        <rFont val="ＭＳ Ｐゴシック"/>
        <family val="3"/>
        <charset val="128"/>
        <scheme val="minor"/>
      </rPr>
      <t>会 CHINA-EURASIA EXPO</t>
    </r>
  </si>
  <si>
    <r>
      <t>新疆国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博</t>
    </r>
    <r>
      <rPr>
        <sz val="11"/>
        <color theme="1"/>
        <rFont val="ＭＳ Ｐゴシック"/>
        <family val="3"/>
        <charset val="134"/>
        <scheme val="minor"/>
      </rPr>
      <t>览</t>
    </r>
    <r>
      <rPr>
        <sz val="11"/>
        <color theme="1"/>
        <rFont val="ＭＳ Ｐゴシック"/>
        <family val="3"/>
        <charset val="128"/>
        <scheme val="minor"/>
      </rPr>
      <t>事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局</t>
    </r>
  </si>
  <si>
    <r>
      <t>果酒（含酒精）;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高粱酒; 蜂蜜酒; 白酒; 甜酒; 开胃酒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</si>
  <si>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福尊</t>
    </r>
  </si>
  <si>
    <r>
      <t>山西百年青瓷老酒坊酒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</si>
  <si>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利口酒; 食用酒精</t>
    </r>
  </si>
  <si>
    <r>
      <t>京唐牛二</t>
    </r>
    <r>
      <rPr>
        <sz val="11"/>
        <color theme="1"/>
        <rFont val="ＭＳ Ｐゴシック"/>
        <family val="3"/>
        <charset val="134"/>
        <scheme val="minor"/>
      </rPr>
      <t>锅头</t>
    </r>
  </si>
  <si>
    <r>
      <t>保定紫金山酒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</si>
  <si>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汽酒; 黄酒; 白酒;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</t>
    </r>
  </si>
  <si>
    <t>叭氿窖</t>
  </si>
  <si>
    <r>
      <t>李源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</si>
  <si>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</si>
  <si>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沱牌神州之星</t>
  </si>
  <si>
    <r>
      <t>舍得酒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</si>
  <si>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利口酒;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开胃酒;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</si>
  <si>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舍得神州之星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</si>
  <si>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蒸煮提取物（利口酒和烈酒）; 葡萄酒; 利口酒;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</si>
  <si>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来普粮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白</t>
    </r>
  </si>
  <si>
    <r>
      <t>申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能</t>
    </r>
  </si>
  <si>
    <t>开胃酒; 白酒; 苦味酒; 食用酒精; 果酒（含酒精）</t>
  </si>
  <si>
    <t>蒙芳黄金米酒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</si>
  <si>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东兰</t>
    </r>
    <r>
      <rPr>
        <sz val="11"/>
        <color theme="1"/>
        <rFont val="ＭＳ Ｐゴシック"/>
        <family val="3"/>
        <charset val="128"/>
        <scheme val="minor"/>
      </rPr>
      <t>亭沂蒙酒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</si>
  <si>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日式甜米酒;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米酒）; 米酒</t>
    </r>
  </si>
  <si>
    <r>
      <t>寒山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</si>
  <si>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浙江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石梁集</t>
    </r>
    <r>
      <rPr>
        <sz val="11"/>
        <color theme="1"/>
        <rFont val="ＭＳ Ｐゴシック"/>
        <family val="3"/>
        <charset val="134"/>
        <scheme val="minor"/>
      </rPr>
      <t>团济</t>
    </r>
    <r>
      <rPr>
        <sz val="11"/>
        <color theme="1"/>
        <rFont val="ＭＳ Ｐゴシック"/>
        <family val="3"/>
        <charset val="128"/>
        <scheme val="minor"/>
      </rPr>
      <t>公家酒坊有限公司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</si>
  <si>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白酒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</si>
  <si>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尊御品</t>
    </r>
  </si>
  <si>
    <t>李静</t>
  </si>
  <si>
    <r>
      <t>清酒; 高粱酒; 果酒; 果酒（含酒精）; 黄酒; 白干酒（中国白酒）; 食用酒精;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</si>
  <si>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花御品</t>
    </r>
  </si>
  <si>
    <r>
      <t>果酒（含酒精）;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清酒</t>
    </r>
  </si>
  <si>
    <r>
      <t>回味徐府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</si>
  <si>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可蕊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</si>
  <si>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</si>
  <si>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坡白堤</t>
    </r>
  </si>
  <si>
    <r>
      <t>丹棱</t>
    </r>
    <r>
      <rPr>
        <sz val="11"/>
        <color theme="1"/>
        <rFont val="ＭＳ Ｐゴシック"/>
        <family val="3"/>
        <charset val="134"/>
        <scheme val="minor"/>
      </rPr>
      <t>县张场</t>
    </r>
    <r>
      <rPr>
        <sz val="11"/>
        <color theme="1"/>
        <rFont val="ＭＳ Ｐゴシック"/>
        <family val="3"/>
        <charset val="128"/>
        <scheme val="minor"/>
      </rPr>
      <t>白酒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售坊</t>
    </r>
  </si>
  <si>
    <r>
      <t xml:space="preserve">米酒; 葡萄酒;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食用酒精;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</si>
  <si>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嬴中医</t>
  </si>
  <si>
    <r>
      <t>成都唯</t>
    </r>
    <r>
      <rPr>
        <sz val="11"/>
        <color theme="1"/>
        <rFont val="ＭＳ Ｐゴシック"/>
        <family val="3"/>
        <charset val="134"/>
        <scheme val="minor"/>
      </rPr>
      <t>顶汇风</t>
    </r>
    <r>
      <rPr>
        <sz val="11"/>
        <color theme="1"/>
        <rFont val="ＭＳ Ｐゴシック"/>
        <family val="3"/>
        <charset val="128"/>
        <scheme val="minor"/>
      </rPr>
      <t>尚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</si>
  <si>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青稞酒; 果酒（含酒精）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</si>
  <si>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庆凤徕</t>
    </r>
    <r>
      <rPr>
        <sz val="11"/>
        <color theme="1"/>
        <rFont val="ＭＳ Ｐゴシック"/>
        <family val="3"/>
        <charset val="128"/>
        <scheme val="minor"/>
      </rPr>
      <t>益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</si>
  <si>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果酒（含酒精）; 葡萄酒;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蜂蜜酒</t>
    </r>
  </si>
  <si>
    <r>
      <t>瓯府</t>
    </r>
    <r>
      <rPr>
        <sz val="11"/>
        <color theme="1"/>
        <rFont val="ＭＳ Ｐゴシック"/>
        <family val="3"/>
        <charset val="134"/>
        <scheme val="minor"/>
      </rPr>
      <t>贡</t>
    </r>
  </si>
  <si>
    <r>
      <t>温州康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</si>
  <si>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蜂蜜酒;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</si>
  <si>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泉喜事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</si>
  <si>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泉市文化旅游投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展股份有限公司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</si>
  <si>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</si>
  <si>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四舍山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</si>
  <si>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孚克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气有限公司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</si>
  <si>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白酒; 烈酒;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高粱酒</t>
    </r>
  </si>
  <si>
    <r>
      <t>玉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寒泉</t>
    </r>
  </si>
  <si>
    <t>上海仁安安健康管理有限公司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</si>
  <si>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</si>
  <si>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柔情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</si>
  <si>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白酒; 白干酒（中国白酒）; 葡萄酒;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</si>
  <si>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新吉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</si>
  <si>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双吉</t>
    </r>
  </si>
  <si>
    <r>
      <t>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</si>
  <si>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江小宝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</si>
  <si>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江小白酒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</si>
  <si>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威士忌; 白酒;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</si>
  <si>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瑞雪</t>
    </r>
    <r>
      <rPr>
        <sz val="11"/>
        <color theme="1"/>
        <rFont val="ＭＳ Ｐゴシック"/>
        <family val="3"/>
        <charset val="134"/>
        <scheme val="minor"/>
      </rPr>
      <t>临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</si>
  <si>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</si>
  <si>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芭拉</t>
    </r>
    <r>
      <rPr>
        <sz val="11"/>
        <color theme="1"/>
        <rFont val="ＭＳ Ｐゴシック"/>
        <family val="3"/>
        <charset val="134"/>
        <scheme val="minor"/>
      </rPr>
      <t>閅</t>
    </r>
  </si>
  <si>
    <r>
      <t>科博科莱斯特有限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</si>
  <si>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t>伏特加酒</t>
  </si>
  <si>
    <t>VV</t>
  </si>
  <si>
    <r>
      <t>深圳市</t>
    </r>
    <r>
      <rPr>
        <sz val="11"/>
        <color theme="1"/>
        <rFont val="ＭＳ Ｐゴシック"/>
        <family val="3"/>
        <charset val="129"/>
        <scheme val="minor"/>
      </rPr>
      <t>喵</t>
    </r>
    <r>
      <rPr>
        <sz val="11"/>
        <color theme="1"/>
        <rFont val="ＭＳ Ｐゴシック"/>
        <family val="3"/>
        <charset val="128"/>
        <scheme val="minor"/>
      </rPr>
      <t>跑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</si>
  <si>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</si>
  <si>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阿伯拉肯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</si>
  <si>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岛华</t>
    </r>
    <r>
      <rPr>
        <sz val="11"/>
        <color theme="1"/>
        <rFont val="ＭＳ Ｐゴシック"/>
        <family val="3"/>
        <charset val="128"/>
        <scheme val="minor"/>
      </rPr>
      <t>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</si>
  <si>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伏特加酒;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苹果酒; 利口酒;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</si>
  <si>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这</t>
    </r>
    <r>
      <rPr>
        <sz val="11"/>
        <color theme="1"/>
        <rFont val="ＭＳ Ｐゴシック"/>
        <family val="3"/>
        <charset val="128"/>
        <scheme val="minor"/>
      </rPr>
      <t>礼</t>
    </r>
  </si>
  <si>
    <r>
      <t>云南好好喝茶茶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</si>
  <si>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白酒; 开胃酒</t>
    </r>
  </si>
  <si>
    <t>翠影玉香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</si>
  <si>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葡萄酒; 米酒; 白酒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</si>
  <si>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葡萄酒;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</si>
  <si>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云水清音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</si>
  <si>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</si>
  <si>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t>碧空明月</t>
  </si>
  <si>
    <r>
      <t>葡萄酒;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</si>
  <si>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煜酒庄 KAIYU WINERY</t>
    </r>
  </si>
  <si>
    <r>
      <t>顾红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</si>
  <si>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>汽酒;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</si>
  <si>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炁箴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</si>
  <si>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北京国医圣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中医炁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>研究院</t>
    </r>
  </si>
  <si>
    <r>
      <t xml:space="preserve">果酒（含酒精）;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利口酒; 蜂蜜酒; 米酒; 蒸煮提取物（利口酒和烈酒）</t>
    </r>
  </si>
  <si>
    <t>雍和</t>
  </si>
  <si>
    <t>保定市京旺制酒厂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</si>
  <si>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利口酒; 青稞酒; 葡萄酒; 果酒（含酒精）</t>
    </r>
  </si>
  <si>
    <r>
      <t>谋</t>
    </r>
    <r>
      <rPr>
        <sz val="11"/>
        <color theme="1"/>
        <rFont val="ＭＳ Ｐゴシック"/>
        <family val="3"/>
        <charset val="128"/>
        <scheme val="minor"/>
      </rPr>
      <t>功</t>
    </r>
  </si>
  <si>
    <t>汪加豪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</si>
  <si>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白酒; 清酒; 高粱酒; 烈酒; 黄酒; 餐后酒（利口酒和烈酒）; 葡萄酒</t>
    </r>
  </si>
  <si>
    <t>颐颂</t>
  </si>
  <si>
    <r>
      <t>周</t>
    </r>
    <r>
      <rPr>
        <sz val="11"/>
        <color theme="1"/>
        <rFont val="ＭＳ Ｐゴシック"/>
        <family val="3"/>
        <charset val="134"/>
        <scheme val="minor"/>
      </rPr>
      <t>陆</t>
    </r>
  </si>
  <si>
    <r>
      <t xml:space="preserve">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</si>
  <si>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桃李春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</si>
  <si>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新寰宇航空科技有限公司</t>
    </r>
  </si>
  <si>
    <r>
      <t>餐后酒（利口酒和烈酒）;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</si>
  <si>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帝容</t>
  </si>
  <si>
    <t>戴林美</t>
  </si>
  <si>
    <r>
      <t xml:space="preserve">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清酒</t>
    </r>
  </si>
  <si>
    <r>
      <t>顺时</t>
    </r>
    <r>
      <rPr>
        <sz val="11"/>
        <color theme="1"/>
        <rFont val="ＭＳ Ｐゴシック"/>
        <family val="3"/>
        <charset val="128"/>
        <scheme val="minor"/>
      </rPr>
      <t>而</t>
    </r>
    <r>
      <rPr>
        <sz val="11"/>
        <color theme="1"/>
        <rFont val="ＭＳ Ｐゴシック"/>
        <family val="3"/>
        <charset val="134"/>
        <scheme val="minor"/>
      </rPr>
      <t>饮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</si>
  <si>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创饮实业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</si>
  <si>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果酒; 米酒; 清酒（日本米酒）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</si>
  <si>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醹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</si>
  <si>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花</t>
    </r>
    <r>
      <rPr>
        <sz val="11"/>
        <color theme="1"/>
        <rFont val="ＭＳ Ｐゴシック"/>
        <family val="3"/>
        <charset val="134"/>
        <scheme val="minor"/>
      </rPr>
      <t>岗</t>
    </r>
    <r>
      <rPr>
        <sz val="11"/>
        <color theme="1"/>
        <rFont val="ＭＳ Ｐゴシック"/>
        <family val="3"/>
        <charset val="128"/>
        <scheme val="minor"/>
      </rPr>
      <t>区悦</t>
    </r>
    <r>
      <rPr>
        <sz val="11"/>
        <color theme="1"/>
        <rFont val="ＭＳ Ｐゴシック"/>
        <family val="3"/>
        <charset val="134"/>
        <scheme val="minor"/>
      </rPr>
      <t>阁</t>
    </r>
    <r>
      <rPr>
        <sz val="11"/>
        <color theme="1"/>
        <rFont val="ＭＳ Ｐゴシック"/>
        <family val="3"/>
        <charset val="128"/>
        <scheme val="minor"/>
      </rPr>
      <t>酒店</t>
    </r>
  </si>
  <si>
    <r>
      <t>露酒;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</t>
    </r>
  </si>
  <si>
    <r>
      <t>酝</t>
    </r>
    <r>
      <rPr>
        <sz val="11"/>
        <color theme="1"/>
        <rFont val="ＭＳ Ｐゴシック"/>
        <family val="3"/>
        <charset val="128"/>
        <scheme val="minor"/>
      </rPr>
      <t>酬味</t>
    </r>
    <r>
      <rPr>
        <sz val="11"/>
        <color theme="1"/>
        <rFont val="ＭＳ Ｐゴシック"/>
        <family val="3"/>
        <charset val="129"/>
        <scheme val="minor"/>
      </rPr>
      <t>馧</t>
    </r>
  </si>
  <si>
    <t>隆昌鑫福盛玻璃制品有限公司</t>
  </si>
  <si>
    <r>
      <t xml:space="preserve">葡萄酒; 黄酒; 青稞酒; 白酒; 威士忌; 苹果酒;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</si>
  <si>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花花的世界</t>
  </si>
  <si>
    <r>
      <t>葡萄酒; 利口酒; 食用酒精;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</si>
  <si>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叩叩</t>
    </r>
    <r>
      <rPr>
        <sz val="11"/>
        <color theme="1"/>
        <rFont val="ＭＳ Ｐゴシック"/>
        <family val="3"/>
        <charset val="134"/>
        <scheme val="minor"/>
      </rPr>
      <t>颠</t>
    </r>
  </si>
  <si>
    <r>
      <t>福建南安市辛普</t>
    </r>
    <r>
      <rPr>
        <sz val="11"/>
        <color theme="1"/>
        <rFont val="ＭＳ Ｐゴシック"/>
        <family val="3"/>
        <charset val="134"/>
        <scheme val="minor"/>
      </rPr>
      <t>劳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</si>
  <si>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米酒; 食用酒精; 黄酒; 白酒; 伏特加酒;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</si>
  <si>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智慧友</t>
  </si>
  <si>
    <r>
      <t>沈阳晟鑫沅医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</si>
  <si>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米酒;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</si>
  <si>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俏醺</t>
  </si>
  <si>
    <r>
      <t>杨</t>
    </r>
    <r>
      <rPr>
        <sz val="11"/>
        <color theme="1"/>
        <rFont val="ＭＳ Ｐゴシック"/>
        <family val="3"/>
        <charset val="128"/>
        <scheme val="minor"/>
      </rPr>
      <t>雯</t>
    </r>
  </si>
  <si>
    <t>酸酒（低等葡萄酒）; 高粱酒; 烈酒; 草莓酒; 白酒; 梅酒; 米酒; 清酒; 果酒（含酒精）; 甜酒</t>
  </si>
  <si>
    <t>清平堡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</si>
  <si>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西卡金网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</si>
  <si>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果酒（含酒精）; 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梨酒; 不起泡葡萄酒; 白酒; 苹果酒;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</t>
    </r>
  </si>
  <si>
    <r>
      <t>郑酿</t>
    </r>
    <r>
      <rPr>
        <sz val="11"/>
        <color theme="1"/>
        <rFont val="ＭＳ Ｐゴシック"/>
        <family val="3"/>
        <charset val="128"/>
        <scheme val="minor"/>
      </rPr>
      <t>浙</t>
    </r>
  </si>
  <si>
    <r>
      <t>皇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管理（上海）有限公司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</si>
  <si>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威士忌; 黄酒</t>
    </r>
  </si>
  <si>
    <r>
      <t>浙江海之雨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外用品有限公司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</si>
  <si>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</si>
  <si>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阿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河匠人</t>
    </r>
  </si>
  <si>
    <r>
      <t>内蒙古阿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</si>
  <si>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开胃酒;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</si>
  <si>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冠洞</t>
    </r>
  </si>
  <si>
    <r>
      <t>洛阳道酉道酒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</si>
  <si>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</si>
  <si>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稻胃</t>
  </si>
  <si>
    <r>
      <t>张</t>
    </r>
    <r>
      <rPr>
        <sz val="11"/>
        <color theme="1"/>
        <rFont val="ＭＳ Ｐゴシック"/>
        <family val="3"/>
        <charset val="128"/>
        <scheme val="minor"/>
      </rPr>
      <t>崇福</t>
    </r>
  </si>
  <si>
    <r>
      <t>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葡萄酒;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</si>
  <si>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沂河翁</t>
  </si>
  <si>
    <r>
      <t>李宝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</si>
  <si>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米酒;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果酒（含酒精）; 葡萄酒</t>
    </r>
  </si>
  <si>
    <r>
      <t xml:space="preserve">FL </t>
    </r>
    <r>
      <rPr>
        <sz val="11"/>
        <color theme="1"/>
        <rFont val="ＭＳ Ｐゴシック"/>
        <family val="3"/>
        <charset val="134"/>
        <scheme val="minor"/>
      </rPr>
      <t>飞龙</t>
    </r>
    <r>
      <rPr>
        <sz val="11"/>
        <color theme="1"/>
        <rFont val="ＭＳ Ｐゴシック"/>
        <family val="3"/>
        <charset val="128"/>
        <scheme val="minor"/>
      </rPr>
      <t>王</t>
    </r>
  </si>
  <si>
    <r>
      <t xml:space="preserve">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</si>
  <si>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酣客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升</t>
    </r>
    <r>
      <rPr>
        <sz val="11"/>
        <color theme="1"/>
        <rFont val="ＭＳ Ｐゴシック"/>
        <family val="3"/>
        <charset val="134"/>
        <scheme val="minor"/>
      </rPr>
      <t>酱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</si>
  <si>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州酣客君丰酒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</si>
  <si>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白酒（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香型）</t>
    </r>
  </si>
  <si>
    <r>
      <t>极天致</t>
    </r>
    <r>
      <rPr>
        <sz val="11"/>
        <color theme="1"/>
        <rFont val="ＭＳ Ｐゴシック"/>
        <family val="3"/>
        <charset val="134"/>
        <scheme val="minor"/>
      </rPr>
      <t>酱</t>
    </r>
  </si>
  <si>
    <r>
      <t>酣客</t>
    </r>
    <r>
      <rPr>
        <sz val="11"/>
        <color theme="1"/>
        <rFont val="ＭＳ Ｐゴシック"/>
        <family val="3"/>
        <charset val="134"/>
        <scheme val="minor"/>
      </rPr>
      <t>酱转酱</t>
    </r>
  </si>
  <si>
    <r>
      <t>酣客老王老</t>
    </r>
    <r>
      <rPr>
        <sz val="11"/>
        <color theme="1"/>
        <rFont val="ＭＳ Ｐゴシック"/>
        <family val="3"/>
        <charset val="134"/>
        <scheme val="minor"/>
      </rPr>
      <t>酱</t>
    </r>
  </si>
  <si>
    <r>
      <t>酣客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 尊品</t>
    </r>
  </si>
  <si>
    <r>
      <t xml:space="preserve">DY 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云蜂品 DONG YUN BEE PRODUCTS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</si>
  <si>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西岭南蜂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</si>
  <si>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蜂蜜酒;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</si>
  <si>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酣客极</t>
    </r>
    <r>
      <rPr>
        <sz val="11"/>
        <color theme="1"/>
        <rFont val="ＭＳ Ｐゴシック"/>
        <family val="3"/>
        <charset val="134"/>
        <scheme val="minor"/>
      </rPr>
      <t>酱</t>
    </r>
  </si>
  <si>
    <r>
      <t>酣客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发烧</t>
    </r>
    <r>
      <rPr>
        <sz val="11"/>
        <color theme="1"/>
        <rFont val="ＭＳ Ｐゴシック"/>
        <family val="3"/>
        <charset val="128"/>
        <scheme val="minor"/>
      </rPr>
      <t>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</si>
  <si>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氿湘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</si>
  <si>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氿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</si>
  <si>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</si>
  <si>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r>
      <t>酣客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</si>
  <si>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酣客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酒极客</t>
    </r>
  </si>
  <si>
    <t>JIAGENGCHUANQI</t>
  </si>
  <si>
    <r>
      <t>广州芸尚</t>
    </r>
    <r>
      <rPr>
        <sz val="11"/>
        <color theme="1"/>
        <rFont val="ＭＳ Ｐゴシック"/>
        <family val="3"/>
        <charset val="134"/>
        <scheme val="minor"/>
      </rPr>
      <t>绣锦发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</si>
  <si>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</si>
  <si>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苋</t>
    </r>
    <r>
      <rPr>
        <sz val="11"/>
        <color theme="1"/>
        <rFont val="ＭＳ Ｐゴシック"/>
        <family val="3"/>
        <charset val="128"/>
        <scheme val="minor"/>
      </rPr>
      <t>康</t>
    </r>
  </si>
  <si>
    <t>黄瑞斌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</si>
  <si>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威士忌; 开胃酒;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伏特加酒; 葡萄酒</t>
    </r>
  </si>
  <si>
    <t>768</t>
  </si>
  <si>
    <r>
      <t>北京大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无</t>
    </r>
    <r>
      <rPr>
        <sz val="11"/>
        <color theme="1"/>
        <rFont val="ＭＳ Ｐゴシック"/>
        <family val="3"/>
        <charset val="134"/>
        <scheme val="minor"/>
      </rPr>
      <t>线电仪</t>
    </r>
    <r>
      <rPr>
        <sz val="11"/>
        <color theme="1"/>
        <rFont val="ＭＳ Ｐゴシック"/>
        <family val="3"/>
        <charset val="128"/>
        <scheme val="minor"/>
      </rPr>
      <t>器有限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</si>
  <si>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预调</t>
    </r>
    <r>
      <rPr>
        <sz val="11"/>
        <color theme="1"/>
        <rFont val="ＭＳ Ｐゴシック"/>
        <family val="3"/>
        <charset val="128"/>
        <scheme val="minor"/>
      </rPr>
      <t>甜酒; 蝮蛇酒; 水果汽酒; 日式甜米酒; 佐餐酒; 薄荷酒; 白葡萄酒;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含奶油利口酒</t>
    </r>
  </si>
  <si>
    <r>
      <t>酣客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酒体</t>
    </r>
    <r>
      <rPr>
        <sz val="11"/>
        <color theme="1"/>
        <rFont val="ＭＳ Ｐゴシック"/>
        <family val="3"/>
        <charset val="134"/>
        <scheme val="minor"/>
      </rPr>
      <t>验馆</t>
    </r>
  </si>
  <si>
    <r>
      <t>酣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极客</t>
    </r>
  </si>
  <si>
    <r>
      <t>深圳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叶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新科技有限公司</t>
    </r>
  </si>
  <si>
    <r>
      <t>利口酒; 威士忌; 白酒; 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</si>
  <si>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哩滑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</si>
  <si>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古酒坊酒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</si>
  <si>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食用酒精; 蒸煮提取物（利口酒和烈酒）;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</si>
  <si>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京粮川</t>
  </si>
  <si>
    <r>
      <t>京粮川（北京）酒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</si>
  <si>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</si>
  <si>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均州</t>
    </r>
    <r>
      <rPr>
        <sz val="11"/>
        <color theme="1"/>
        <rFont val="ＭＳ Ｐゴシック"/>
        <family val="3"/>
        <charset val="134"/>
        <scheme val="minor"/>
      </rPr>
      <t>记忆</t>
    </r>
  </si>
  <si>
    <r>
      <t>湖北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帆酒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</si>
  <si>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烈酒; 黄酒; 葡萄酒</t>
    </r>
  </si>
  <si>
    <r>
      <t>预调</t>
    </r>
    <r>
      <rPr>
        <sz val="11"/>
        <color theme="1"/>
        <rFont val="ＭＳ Ｐゴシック"/>
        <family val="3"/>
        <charset val="128"/>
        <scheme val="minor"/>
      </rPr>
      <t>甜酒; 薄荷酒; 白葡萄酒; 日式甜米酒; 含奶油利口酒; 佐餐酒; 蝮蛇酒;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水果汽酒; 蒸煮提取物（利口酒和烈酒）</t>
    </r>
  </si>
  <si>
    <t>七星仙草岭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</si>
  <si>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仙草岭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</si>
  <si>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清酒（日本米酒）</t>
    </r>
  </si>
  <si>
    <r>
      <t>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日式甜米酒; 水果汽酒;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薄荷酒; 白葡萄酒; 蒸煮提取物（利口酒和烈酒）; 佐餐酒; 含奶油利口酒; 蝮蛇酒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</si>
  <si>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钦</t>
    </r>
  </si>
  <si>
    <t>蔡登俊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</si>
  <si>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清酒（日本米酒）; 蜂蜜酒</t>
    </r>
  </si>
  <si>
    <r>
      <t>禧年嘉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</si>
  <si>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蜂蜜酒; 清酒（日本米酒）</t>
    </r>
  </si>
  <si>
    <t>孝派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</si>
  <si>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蜂蜜酒; 白酒; 米酒</t>
    </r>
  </si>
  <si>
    <t>氿武志樽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</si>
  <si>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市唐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湾酒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</si>
  <si>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苹果酒; 米酒; 露酒; 餐后酒（利口酒和烈酒）</t>
    </r>
  </si>
  <si>
    <r>
      <t xml:space="preserve">品味 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晏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</si>
  <si>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蒸煮提取物（利口酒和烈酒）;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</si>
  <si>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双</t>
    </r>
    <r>
      <rPr>
        <sz val="11"/>
        <color theme="1"/>
        <rFont val="ＭＳ Ｐゴシック"/>
        <family val="3"/>
        <charset val="134"/>
        <scheme val="minor"/>
      </rPr>
      <t>钻</t>
    </r>
  </si>
  <si>
    <r>
      <t xml:space="preserve">米酒;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清酒（日本米酒）;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</si>
  <si>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扎旗志同</t>
  </si>
  <si>
    <r>
      <t>闫</t>
    </r>
    <r>
      <rPr>
        <sz val="11"/>
        <color theme="1"/>
        <rFont val="ＭＳ Ｐゴシック"/>
        <family val="3"/>
        <charset val="128"/>
        <scheme val="minor"/>
      </rPr>
      <t>淑梅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</si>
  <si>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水果汽酒; 果酒; 青梅酒;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烈酒</t>
    </r>
  </si>
  <si>
    <r>
      <t>疆小</t>
    </r>
    <r>
      <rPr>
        <sz val="11"/>
        <color theme="1"/>
        <rFont val="ＭＳ Ｐゴシック"/>
        <family val="3"/>
        <charset val="134"/>
        <scheme val="minor"/>
      </rPr>
      <t>亿</t>
    </r>
  </si>
  <si>
    <r>
      <t>伊犁天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葡萄酒有限公司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</si>
  <si>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果酒（含酒精）; 葡萄酒; 米酒; 白酒; 黄酒</t>
    </r>
  </si>
  <si>
    <r>
      <t>玉洋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</si>
  <si>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杭州玉洋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文化科技有限公司</t>
    </r>
  </si>
  <si>
    <r>
      <t xml:space="preserve">米酒; 青稞酒;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蜂蜜酒; 梨酒;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黑覆盆子酒; 白酒</t>
    </r>
  </si>
  <si>
    <t>YUYANGDONG</t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</si>
  <si>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黑覆盆子酒;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青稞酒; 果酒（含酒精）; 梨酒; 米酒; 蜂蜜酒</t>
    </r>
  </si>
  <si>
    <t>香喜</t>
  </si>
  <si>
    <r>
      <t xml:space="preserve">葡萄酒; 白酒; 青稞酒;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</si>
  <si>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r>
      <t xml:space="preserve">葡萄酒; 梨酒; 白酒; 黑覆盆子酒;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青稞酒; 米酒;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</si>
  <si>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F</t>
  </si>
  <si>
    <r>
      <t>广西五星好</t>
    </r>
    <r>
      <rPr>
        <sz val="11"/>
        <color theme="1"/>
        <rFont val="ＭＳ Ｐゴシック"/>
        <family val="3"/>
        <charset val="134"/>
        <scheme val="minor"/>
      </rPr>
      <t>评</t>
    </r>
    <r>
      <rPr>
        <sz val="11"/>
        <color theme="1"/>
        <rFont val="ＭＳ Ｐゴシック"/>
        <family val="3"/>
        <charset val="128"/>
        <scheme val="minor"/>
      </rPr>
      <t>物流有限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</si>
  <si>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</t>
    </r>
  </si>
  <si>
    <r>
      <t>滋</t>
    </r>
    <r>
      <rPr>
        <sz val="11"/>
        <color theme="1"/>
        <rFont val="ＭＳ Ｐゴシック"/>
        <family val="3"/>
        <charset val="134"/>
        <scheme val="minor"/>
      </rPr>
      <t>卟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</si>
  <si>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科若思网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</si>
  <si>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梨酒; 开胃酒; 苹果酒; 葡萄酒; 黄酒; 果酒（含酒精）; 白酒</t>
    </r>
  </si>
  <si>
    <t>文顕堂</t>
  </si>
  <si>
    <r>
      <t>天津澳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达商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</si>
  <si>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黄酒; 食用酒精; 葡萄酒; 白酒; 伏特加酒; 果酒（含酒精）; 青稞酒; 清酒（日本米酒）</t>
  </si>
  <si>
    <t>相思醉 酒</t>
  </si>
  <si>
    <r>
      <t>秦志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</si>
  <si>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佐餐酒; 白葡萄酒; 黄酒; 高粱酒;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</t>
    </r>
  </si>
  <si>
    <t>彪杆醉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</si>
  <si>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州赤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</si>
  <si>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</t>
    </r>
  </si>
  <si>
    <t>邡歪</t>
  </si>
  <si>
    <t>唐章瑞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</si>
  <si>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茴芹酒（利口酒）;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汽酒; 开胃酒</t>
    </r>
  </si>
  <si>
    <t>梵池</t>
  </si>
  <si>
    <t>成都众宜天成科技有限公司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</si>
  <si>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葡萄酒; 蒸煮提取物（利口酒和烈酒）;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</si>
  <si>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皇后御</t>
    </r>
  </si>
  <si>
    <r>
      <t>香港京都御医秘方大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厂有限公司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</si>
  <si>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开胃酒; 黄酒; 果酒;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</si>
  <si>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功</t>
    </r>
    <r>
      <rPr>
        <sz val="11"/>
        <color theme="1"/>
        <rFont val="ＭＳ Ｐゴシック"/>
        <family val="3"/>
        <charset val="134"/>
        <scheme val="minor"/>
      </rPr>
      <t>谱</t>
    </r>
  </si>
  <si>
    <r>
      <t xml:space="preserve">清酒;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餐后酒（利口酒和烈酒）; 烈酒; 葡萄酒; 米酒; 白酒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</si>
  <si>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佗堂</t>
    </r>
  </si>
  <si>
    <t>栗淑杰</t>
  </si>
  <si>
    <r>
      <t>食用酒精;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黄酒</t>
    </r>
  </si>
  <si>
    <t>兴战</t>
  </si>
  <si>
    <r>
      <t xml:space="preserve">烈酒; 餐后酒（利口酒和烈酒）; 白酒; 果酒（含酒精）; 黄酒; 高粱酒; 米酒; 清酒;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</si>
  <si>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鉴</t>
    </r>
    <r>
      <rPr>
        <sz val="11"/>
        <color theme="1"/>
        <rFont val="ＭＳ Ｐゴシック"/>
        <family val="3"/>
        <charset val="128"/>
        <scheme val="minor"/>
      </rPr>
      <t>湖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</si>
  <si>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绍兴</t>
    </r>
    <r>
      <rPr>
        <sz val="11"/>
        <color theme="1"/>
        <rFont val="ＭＳ Ｐゴシック"/>
        <family val="3"/>
        <charset val="128"/>
        <scheme val="minor"/>
      </rPr>
      <t>黄酒集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</si>
  <si>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蒸煮提取物（利口酒和烈酒）;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蜂蜜酒; 米酒; 果酒（含酒精）</t>
    </r>
  </si>
  <si>
    <r>
      <t>京台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映</t>
    </r>
  </si>
  <si>
    <t>王琴</t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</si>
  <si>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葡萄酒; 白酒; 果酒（含酒精）; 黄酒</t>
    </r>
  </si>
  <si>
    <r>
      <t>横沙新洲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道</t>
    </r>
  </si>
  <si>
    <r>
      <t>上海市</t>
    </r>
    <r>
      <rPr>
        <sz val="11"/>
        <color theme="1"/>
        <rFont val="ＭＳ Ｐゴシック"/>
        <family val="3"/>
        <charset val="134"/>
        <scheme val="minor"/>
      </rPr>
      <t>现</t>
    </r>
    <r>
      <rPr>
        <sz val="11"/>
        <color theme="1"/>
        <rFont val="ＭＳ Ｐゴシック"/>
        <family val="3"/>
        <charset val="128"/>
        <scheme val="minor"/>
      </rPr>
      <t>代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</si>
  <si>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</t>
    </r>
  </si>
  <si>
    <r>
      <t>赏</t>
    </r>
    <r>
      <rPr>
        <sz val="11"/>
        <color theme="1"/>
        <rFont val="ＭＳ Ｐゴシック"/>
        <family val="3"/>
        <charset val="128"/>
        <scheme val="minor"/>
      </rPr>
      <t>皮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</si>
  <si>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市新会区梅</t>
    </r>
    <r>
      <rPr>
        <sz val="11"/>
        <color theme="1"/>
        <rFont val="ＭＳ Ｐゴシック"/>
        <family val="3"/>
        <charset val="134"/>
        <scheme val="minor"/>
      </rPr>
      <t>树营陈</t>
    </r>
    <r>
      <rPr>
        <sz val="11"/>
        <color theme="1"/>
        <rFont val="ＭＳ Ｐゴシック"/>
        <family val="3"/>
        <charset val="128"/>
        <scheme val="minor"/>
      </rPr>
      <t>皮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</si>
  <si>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汽酒; 蜂蜜酒; 柑香酒;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开胃酒</t>
    </r>
  </si>
  <si>
    <r>
      <t>氿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尊</t>
    </r>
  </si>
  <si>
    <t>祝影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</si>
  <si>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黄酒; 清酒</t>
    </r>
  </si>
  <si>
    <r>
      <t>剑</t>
    </r>
    <r>
      <rPr>
        <sz val="11"/>
        <color theme="1"/>
        <rFont val="ＭＳ Ｐゴシック"/>
        <family val="3"/>
        <charset val="128"/>
        <scheme val="minor"/>
      </rPr>
      <t>南春 天文</t>
    </r>
    <r>
      <rPr>
        <sz val="11"/>
        <color theme="1"/>
        <rFont val="ＭＳ Ｐゴシック"/>
        <family val="3"/>
        <charset val="134"/>
        <scheme val="minor"/>
      </rPr>
      <t>纪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</si>
  <si>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</si>
  <si>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流星花园</t>
  </si>
  <si>
    <t>何意娜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</si>
  <si>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清酒; 白酒; 果酒; 葡萄酒;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</si>
  <si>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轩迈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</si>
  <si>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东凯</t>
    </r>
    <r>
      <rPr>
        <sz val="11"/>
        <color theme="1"/>
        <rFont val="ＭＳ Ｐゴシック"/>
        <family val="3"/>
        <charset val="128"/>
        <scheme val="minor"/>
      </rPr>
      <t>威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</si>
  <si>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</si>
  <si>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鲜</t>
    </r>
    <r>
      <rPr>
        <sz val="11"/>
        <color theme="1"/>
        <rFont val="ＭＳ Ｐゴシック"/>
        <family val="3"/>
        <charset val="128"/>
        <scheme val="minor"/>
      </rPr>
      <t>聚横沙新洲</t>
    </r>
  </si>
  <si>
    <r>
      <t>米酒; 黄酒; 果酒;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</si>
  <si>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锦记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</si>
  <si>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锦记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</si>
  <si>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黄酒; 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</si>
  <si>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深圳港集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</si>
  <si>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</si>
  <si>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鲅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</si>
  <si>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通化修正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</si>
  <si>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食用酒精; 果酒（含酒精）</t>
    </r>
  </si>
  <si>
    <r>
      <t>剑</t>
    </r>
    <r>
      <rPr>
        <sz val="11"/>
        <color theme="1"/>
        <rFont val="ＭＳ Ｐゴシック"/>
        <family val="3"/>
        <charset val="128"/>
        <scheme val="minor"/>
      </rPr>
      <t>南春 星空</t>
    </r>
    <r>
      <rPr>
        <sz val="11"/>
        <color theme="1"/>
        <rFont val="ＭＳ Ｐゴシック"/>
        <family val="3"/>
        <charset val="134"/>
        <scheme val="minor"/>
      </rPr>
      <t>纪</t>
    </r>
  </si>
  <si>
    <r>
      <t>黄酒;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</si>
  <si>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剑</t>
    </r>
    <r>
      <rPr>
        <sz val="11"/>
        <color theme="1"/>
        <rFont val="ＭＳ Ｐゴシック"/>
        <family val="3"/>
        <charset val="128"/>
        <scheme val="minor"/>
      </rPr>
      <t>南春 天文尊</t>
    </r>
  </si>
  <si>
    <r>
      <t>葡萄酒;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</si>
  <si>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百粮</t>
    </r>
  </si>
  <si>
    <r>
      <t>山西城府佳宴酒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</si>
  <si>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清酒; 开胃酒;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</si>
  <si>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鲜</t>
    </r>
    <r>
      <rPr>
        <sz val="11"/>
        <color theme="1"/>
        <rFont val="ＭＳ Ｐゴシック"/>
        <family val="3"/>
        <charset val="128"/>
        <scheme val="minor"/>
      </rPr>
      <t>聚横沙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</si>
  <si>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威士忌; 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</si>
  <si>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横沙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道</t>
    </r>
  </si>
  <si>
    <r>
      <t>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威士忌;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</si>
  <si>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山</t>
  </si>
  <si>
    <r>
      <t>南通</t>
    </r>
    <r>
      <rPr>
        <sz val="11"/>
        <color theme="1"/>
        <rFont val="ＭＳ Ｐゴシック"/>
        <family val="3"/>
        <charset val="134"/>
        <scheme val="minor"/>
      </rPr>
      <t>积</t>
    </r>
    <r>
      <rPr>
        <sz val="11"/>
        <color theme="1"/>
        <rFont val="ＭＳ Ｐゴシック"/>
        <family val="3"/>
        <charset val="128"/>
        <scheme val="minor"/>
      </rPr>
      <t>木信息科技有限公司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</si>
  <si>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果酒; 高粱酒; 白酒</t>
    </r>
  </si>
  <si>
    <t>凧达</t>
  </si>
  <si>
    <r>
      <t>三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荣智祥企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</si>
  <si>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汽酒; 食用酒精; 清酒; 黄酒;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</si>
  <si>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t>MR COPPER</t>
  </si>
  <si>
    <t>云禧品牌管理（深圳）有限公司</t>
  </si>
  <si>
    <r>
      <t>威士忌; 混合威士忌酒;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麦芽威士忌; 烈酒; 杜松子酒</t>
    </r>
  </si>
  <si>
    <t>豪气臻品</t>
  </si>
  <si>
    <t>蔡平豪</t>
  </si>
  <si>
    <r>
      <t>黄酒; 米酒; 朗姆酒;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甜酒</t>
    </r>
  </si>
  <si>
    <r>
      <t>温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文化旅游投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</si>
  <si>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白酒; 食用酒精; 威士忌; 米酒; 烈酒;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</t>
    </r>
  </si>
  <si>
    <r>
      <t>米酒; 食用酒精;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威士忌; 烈酒</t>
    </r>
  </si>
  <si>
    <t>YIJIANGTAI</t>
  </si>
  <si>
    <r>
      <t>北京礼物商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</si>
  <si>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米酒</t>
    </r>
  </si>
  <si>
    <t>ANGGUR MERAH ORANG TUA</t>
  </si>
  <si>
    <r>
      <t>巴派克登高特工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公司</t>
    </r>
  </si>
  <si>
    <r>
      <t>利口酒; 加烈葡萄酒;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白葡萄酒; 葡萄汽酒;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</si>
  <si>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德盛智鼎商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</si>
  <si>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青稞酒; 米酒; 五加皮酒（中国混合烈酒）</t>
    </r>
  </si>
  <si>
    <r>
      <t>葡萄酒; 威士忌; 葡萄汽酒;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加烈葡萄酒;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白葡萄酒</t>
    </r>
  </si>
  <si>
    <t>YISHUTAI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</si>
  <si>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黄酒</t>
    </r>
  </si>
  <si>
    <t>泰河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</si>
  <si>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泰河供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</si>
  <si>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果酒; 利口酒;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</si>
  <si>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FABP DK FISH &amp; BEAR'S PAW DK</t>
  </si>
  <si>
    <r>
      <t>中能建工（北京）技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</si>
  <si>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葡萄酒; 清酒; 伏特加酒; 青稞酒; 威士忌; 果酒;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</si>
  <si>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FEITIANBULAO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</si>
  <si>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菏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花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</si>
  <si>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葡萄酒</t>
    </r>
  </si>
  <si>
    <t>缘门</t>
  </si>
  <si>
    <r>
      <t>寻</t>
    </r>
    <r>
      <rPr>
        <sz val="11"/>
        <color theme="1"/>
        <rFont val="ＭＳ Ｐゴシック"/>
        <family val="3"/>
        <charset val="128"/>
        <scheme val="minor"/>
      </rPr>
      <t>世明</t>
    </r>
  </si>
  <si>
    <r>
      <t xml:space="preserve">黄酒; 烈酒; 高粱酒; 米酒; 清酒; 食用酒精;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</si>
  <si>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求疆</t>
  </si>
  <si>
    <r>
      <t>李俊</t>
    </r>
    <r>
      <rPr>
        <sz val="11"/>
        <color theme="1"/>
        <rFont val="ＭＳ Ｐゴシック"/>
        <family val="3"/>
        <charset val="134"/>
        <scheme val="minor"/>
      </rPr>
      <t>栋</t>
    </r>
  </si>
  <si>
    <r>
      <t>米酒; 甜酒; 葡萄潘趣酒;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葡萄酒;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白葡萄酒; 果酒</t>
    </r>
  </si>
  <si>
    <t>恋疆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</si>
  <si>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白葡萄酒; 甜酒; 果酒; 梨酒; 食用酒精; 葡萄潘趣酒; 米酒; 葡萄酒</t>
    </r>
  </si>
  <si>
    <t>舍得 舍得智慧人物 SHEDE WISDOM TALENTS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</si>
  <si>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蒸煮提取物（利口酒和烈酒）; 食用酒精; 白酒; 果酒（含酒精）; 利口酒; 开胃酒</t>
    </r>
  </si>
  <si>
    <r>
      <t>三宝盛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</si>
  <si>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成都市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</si>
  <si>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</t>
    </r>
  </si>
  <si>
    <t>大同盛世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</si>
  <si>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九兵酒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</si>
  <si>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米酒; 果酒; 烈酒</t>
    </r>
  </si>
  <si>
    <r>
      <t xml:space="preserve">烈酒;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</si>
  <si>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享一生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</si>
  <si>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州金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</si>
  <si>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</si>
  <si>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中民</t>
  </si>
  <si>
    <r>
      <t>杭州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倍企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</si>
  <si>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果酒; 白酒; 烈酒;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</si>
  <si>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利口酒;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</si>
  <si>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贡</t>
    </r>
    <r>
      <rPr>
        <sz val="11"/>
        <color theme="1"/>
        <rFont val="ＭＳ Ｐゴシック"/>
        <family val="3"/>
        <charset val="128"/>
        <scheme val="minor"/>
      </rPr>
      <t>赫</t>
    </r>
  </si>
  <si>
    <r>
      <t>美酒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堂有限公司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</si>
  <si>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青稞酒; 清酒（日本米酒）; 米酒;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</si>
  <si>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南关山</t>
  </si>
  <si>
    <r>
      <t>邵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</si>
  <si>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白酒; 薄荷酒;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黄酒; 果酒（含酒精）; 苹果酒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</si>
  <si>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州科比酒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</si>
  <si>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</t>
    </r>
  </si>
  <si>
    <r>
      <t>水</t>
    </r>
    <r>
      <rPr>
        <sz val="11"/>
        <color theme="1"/>
        <rFont val="ＭＳ Ｐゴシック"/>
        <family val="3"/>
        <charset val="134"/>
        <scheme val="minor"/>
      </rPr>
      <t>硙</t>
    </r>
    <r>
      <rPr>
        <sz val="11"/>
        <color theme="1"/>
        <rFont val="ＭＳ Ｐゴシック"/>
        <family val="3"/>
        <charset val="128"/>
        <scheme val="minor"/>
      </rPr>
      <t>葫芦</t>
    </r>
  </si>
  <si>
    <t>汪昌江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</si>
  <si>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利口酒;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</t>
    </r>
  </si>
  <si>
    <r>
      <t>礼御千</t>
    </r>
    <r>
      <rPr>
        <sz val="11"/>
        <color theme="1"/>
        <rFont val="ＭＳ Ｐゴシック"/>
        <family val="3"/>
        <charset val="134"/>
        <scheme val="minor"/>
      </rPr>
      <t>载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</si>
  <si>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载</t>
    </r>
    <r>
      <rPr>
        <sz val="11"/>
        <color theme="1"/>
        <rFont val="ＭＳ Ｐゴシック"/>
        <family val="3"/>
        <charset val="128"/>
        <scheme val="minor"/>
      </rPr>
      <t>堂文化</t>
    </r>
    <r>
      <rPr>
        <sz val="11"/>
        <color theme="1"/>
        <rFont val="ＭＳ Ｐゴシック"/>
        <family val="3"/>
        <charset val="134"/>
        <scheme val="minor"/>
      </rPr>
      <t>艺术传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</si>
  <si>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果酒;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</si>
  <si>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仝粮</t>
  </si>
  <si>
    <r>
      <t>陈</t>
    </r>
    <r>
      <rPr>
        <sz val="11"/>
        <color theme="1"/>
        <rFont val="ＭＳ Ｐゴシック"/>
        <family val="3"/>
        <charset val="128"/>
        <scheme val="minor"/>
      </rPr>
      <t>思勰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</si>
  <si>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开胃酒; 果酒（含酒精）;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</si>
  <si>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中和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</si>
  <si>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州众智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先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</si>
  <si>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</si>
  <si>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云南</t>
    </r>
    <r>
      <rPr>
        <sz val="11"/>
        <color theme="1"/>
        <rFont val="ＭＳ Ｐゴシック"/>
        <family val="3"/>
        <charset val="134"/>
        <scheme val="minor"/>
      </rPr>
      <t>铜</t>
    </r>
    <r>
      <rPr>
        <sz val="11"/>
        <color theme="1"/>
        <rFont val="ＭＳ Ｐゴシック"/>
        <family val="3"/>
        <charset val="128"/>
        <scheme val="minor"/>
      </rPr>
      <t>拾社文化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</si>
  <si>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食用酒精;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</t>
    </r>
  </si>
  <si>
    <r>
      <t>锔</t>
    </r>
    <r>
      <rPr>
        <sz val="11"/>
        <color theme="1"/>
        <rFont val="ＭＳ Ｐゴシック"/>
        <family val="3"/>
        <charset val="128"/>
        <scheme val="minor"/>
      </rPr>
      <t>匠</t>
    </r>
  </si>
  <si>
    <t>京德益邦（北京）新材料科技有限公司</t>
  </si>
  <si>
    <r>
      <t xml:space="preserve">葡萄酒; 米酒; 汽酒;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梨酒;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</si>
  <si>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萝</t>
    </r>
    <r>
      <rPr>
        <sz val="11"/>
        <color theme="1"/>
        <rFont val="ＭＳ Ｐゴシック"/>
        <family val="3"/>
        <charset val="128"/>
        <scheme val="minor"/>
      </rPr>
      <t>卜公社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</si>
  <si>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颐创</t>
    </r>
    <r>
      <rPr>
        <sz val="11"/>
        <color theme="1"/>
        <rFont val="ＭＳ Ｐゴシック"/>
        <family val="3"/>
        <charset val="128"/>
        <scheme val="minor"/>
      </rPr>
      <t>文旅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</si>
  <si>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果酒（含酒精）;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利口酒; 白酒</t>
    </r>
  </si>
  <si>
    <t>麦典</t>
  </si>
  <si>
    <t>戴才英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</si>
  <si>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白酒; 清酒（日本米酒）; 梨酒; 米酒; 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</si>
  <si>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溪山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运</t>
    </r>
  </si>
  <si>
    <r>
      <t>薛</t>
    </r>
    <r>
      <rPr>
        <sz val="11"/>
        <color theme="1"/>
        <rFont val="ＭＳ Ｐゴシック"/>
        <family val="3"/>
        <charset val="134"/>
        <scheme val="minor"/>
      </rPr>
      <t>尧</t>
    </r>
    <r>
      <rPr>
        <sz val="11"/>
        <color theme="1"/>
        <rFont val="ＭＳ Ｐゴシック"/>
        <family val="3"/>
        <charset val="128"/>
        <scheme val="minor"/>
      </rPr>
      <t>浩</t>
    </r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</si>
  <si>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蜂蜜酒;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</t>
    </r>
  </si>
  <si>
    <r>
      <t>善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</si>
  <si>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常熟市梅李</t>
    </r>
    <r>
      <rPr>
        <sz val="11"/>
        <color theme="1"/>
        <rFont val="ＭＳ Ｐゴシック"/>
        <family val="3"/>
        <charset val="134"/>
        <scheme val="minor"/>
      </rPr>
      <t>镇枫</t>
    </r>
    <r>
      <rPr>
        <sz val="11"/>
        <color theme="1"/>
        <rFont val="ＭＳ Ｐゴシック"/>
        <family val="3"/>
        <charset val="128"/>
        <scheme val="minor"/>
      </rPr>
      <t>之</t>
    </r>
    <r>
      <rPr>
        <sz val="11"/>
        <color theme="1"/>
        <rFont val="ＭＳ Ｐゴシック"/>
        <family val="3"/>
        <charset val="134"/>
        <scheme val="minor"/>
      </rPr>
      <t>绵杂货</t>
    </r>
    <r>
      <rPr>
        <sz val="11"/>
        <color theme="1"/>
        <rFont val="ＭＳ Ｐゴシック"/>
        <family val="3"/>
        <charset val="128"/>
        <scheme val="minor"/>
      </rPr>
      <t>店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</si>
  <si>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白干酒（中国白酒）; 威士忌</t>
    </r>
  </si>
  <si>
    <t>盛事宣言</t>
  </si>
  <si>
    <t>刘会</t>
  </si>
  <si>
    <r>
      <t>果酒（含酒精）;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米酒; 露酒;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</si>
  <si>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选势</t>
  </si>
  <si>
    <r>
      <t>祖宏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</si>
  <si>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黄酒; 米酒; 葡萄酒; 清酒（日本米酒）; 白酒; 果酒（含酒精）</t>
    </r>
  </si>
  <si>
    <r>
      <t>乌</t>
    </r>
    <r>
      <rPr>
        <sz val="11"/>
        <color theme="1"/>
        <rFont val="ＭＳ Ｐゴシック"/>
        <family val="3"/>
        <charset val="128"/>
        <scheme val="minor"/>
      </rPr>
      <t>裕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河（香港）有限公司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</si>
  <si>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食用酒精;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</si>
  <si>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爪台</t>
  </si>
  <si>
    <t>屈孝国</t>
  </si>
  <si>
    <r>
      <t>清酒（日本米酒）;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白酒; 米酒; 威士忌; 葡萄酒; 利口酒</t>
    </r>
  </si>
  <si>
    <r>
      <t>权</t>
    </r>
    <r>
      <rPr>
        <sz val="11"/>
        <color theme="1"/>
        <rFont val="ＭＳ Ｐゴシック"/>
        <family val="3"/>
        <charset val="128"/>
        <scheme val="minor"/>
      </rPr>
      <t>韵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</si>
  <si>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白干酒（中国白酒）;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</si>
  <si>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t>菁葡酒庄</t>
  </si>
  <si>
    <t>雷玉春</t>
  </si>
  <si>
    <r>
      <t>开胃酒; 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清酒（日本米酒）; 果酒（含酒精）</t>
    </r>
  </si>
  <si>
    <r>
      <t>仙居</t>
    </r>
    <r>
      <rPr>
        <sz val="11"/>
        <color theme="1"/>
        <rFont val="ＭＳ Ｐゴシック"/>
        <family val="3"/>
        <charset val="134"/>
        <scheme val="minor"/>
      </rPr>
      <t>县农业</t>
    </r>
    <r>
      <rPr>
        <sz val="11"/>
        <color theme="1"/>
        <rFont val="ＭＳ Ｐゴシック"/>
        <family val="3"/>
        <charset val="128"/>
        <scheme val="minor"/>
      </rPr>
      <t>（水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）技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推广中心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</si>
  <si>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蜂蜜酒; 葡萄酒;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</si>
  <si>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郑泽</t>
    </r>
    <r>
      <rPr>
        <sz val="11"/>
        <color theme="1"/>
        <rFont val="ＭＳ Ｐゴシック"/>
        <family val="3"/>
        <charset val="128"/>
        <scheme val="minor"/>
      </rPr>
      <t>耀</t>
    </r>
  </si>
  <si>
    <r>
      <t>匠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祖（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州）白酒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</si>
  <si>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米酒;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梅酒;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果酒</t>
    </r>
  </si>
  <si>
    <t>金典·心系天下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</si>
  <si>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州百年金典酒庄有限公司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</si>
  <si>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果酒; 葡萄酒; 苦味酒; 开胃酒; 高粱酒</t>
    </r>
  </si>
  <si>
    <t>古酒河</t>
  </si>
  <si>
    <t>王涛</t>
  </si>
  <si>
    <r>
      <t xml:space="preserve">白酒; 开胃酒;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</si>
  <si>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r>
      <t>金瓶</t>
    </r>
    <r>
      <rPr>
        <sz val="11"/>
        <color theme="1"/>
        <rFont val="ＭＳ Ｐゴシック"/>
        <family val="3"/>
        <charset val="134"/>
        <scheme val="minor"/>
      </rPr>
      <t>财</t>
    </r>
  </si>
  <si>
    <t>韩亚锋</t>
  </si>
  <si>
    <r>
      <t>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青梅酒; 高粱酒;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烈性干酒</t>
    </r>
  </si>
  <si>
    <t>喟食猫</t>
  </si>
  <si>
    <r>
      <t>佛山市睿管家企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</si>
  <si>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米酒; 食用酒精;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</si>
  <si>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金典·壹号</t>
  </si>
  <si>
    <r>
      <t>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蒸煮提取物（利口酒和烈酒）; 果酒; 苦味酒;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</t>
    </r>
  </si>
  <si>
    <r>
      <t>胭脂糯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堂石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</si>
  <si>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州金山碧水生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</si>
  <si>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黄酒; 汽酒; 蒸煮提取物（利口酒和烈酒）</t>
    </r>
  </si>
  <si>
    <t>梅萼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</si>
  <si>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州特色特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</si>
  <si>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青稞酒;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</si>
  <si>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永</t>
    </r>
    <r>
      <rPr>
        <sz val="11"/>
        <color theme="1"/>
        <rFont val="ＭＳ Ｐゴシック"/>
        <family val="3"/>
        <charset val="134"/>
        <scheme val="minor"/>
      </rPr>
      <t>驻</t>
    </r>
    <r>
      <rPr>
        <sz val="11"/>
        <color theme="1"/>
        <rFont val="ＭＳ Ｐゴシック"/>
        <family val="3"/>
        <charset val="128"/>
        <scheme val="minor"/>
      </rPr>
      <t>韶光</t>
    </r>
  </si>
  <si>
    <r>
      <t>后勤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王（重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</si>
  <si>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米酒; 朗姆酒; 高粱酒; 葡萄酒; 黄酒;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</si>
  <si>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光凡</t>
  </si>
  <si>
    <r>
      <t>安徽名企酒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</si>
  <si>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</si>
  <si>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忧赋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</si>
  <si>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州醉忘</t>
    </r>
    <r>
      <rPr>
        <sz val="11"/>
        <color theme="1"/>
        <rFont val="ＭＳ Ｐゴシック"/>
        <family val="3"/>
        <charset val="134"/>
        <scheme val="minor"/>
      </rPr>
      <t>忧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</si>
  <si>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葡萄酒; 利口酒; 白酒; 黄酒</t>
    </r>
  </si>
  <si>
    <r>
      <t>肥</t>
    </r>
    <r>
      <rPr>
        <sz val="11"/>
        <color theme="1"/>
        <rFont val="ＭＳ Ｐゴシック"/>
        <family val="3"/>
        <charset val="134"/>
        <scheme val="minor"/>
      </rPr>
      <t>宽</t>
    </r>
  </si>
  <si>
    <r>
      <t>北京阿不科技技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</si>
  <si>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餐后酒（利口酒和烈酒）;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混合威士忌酒</t>
    </r>
  </si>
  <si>
    <t>人中壹哥</t>
  </si>
  <si>
    <r>
      <t>严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</si>
  <si>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</si>
  <si>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御寿酒</t>
  </si>
  <si>
    <t>杭州御寿生物科技有限公司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</si>
  <si>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葡萄酒; 开胃酒</t>
    </r>
  </si>
  <si>
    <r>
      <t>金典·大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</si>
  <si>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葡萄酒;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苦味酒; 开胃酒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</si>
  <si>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安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他</t>
    </r>
  </si>
  <si>
    <r>
      <t>胡玉</t>
    </r>
    <r>
      <rPr>
        <sz val="11"/>
        <color theme="1"/>
        <rFont val="ＭＳ Ｐゴシック"/>
        <family val="3"/>
        <charset val="134"/>
        <scheme val="minor"/>
      </rPr>
      <t>欢</t>
    </r>
  </si>
  <si>
    <t>苦味酒; 苹果酒; 柑香酒; 葡萄酒; 黄酒; 薄荷酒; 果酒（含酒精）; 白酒; 餐后酒（利口酒和烈酒）; 米酒</t>
  </si>
  <si>
    <r>
      <t>全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典藏 品全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万事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</si>
  <si>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四川全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</si>
  <si>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</t>
    </r>
  </si>
  <si>
    <t>NELSON BROS.</t>
  </si>
  <si>
    <r>
      <t>尼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森</t>
    </r>
    <r>
      <rPr>
        <sz val="11"/>
        <color theme="1"/>
        <rFont val="ＭＳ Ｐゴシック"/>
        <family val="3"/>
        <charset val="134"/>
        <scheme val="minor"/>
      </rPr>
      <t>绿蔷</t>
    </r>
    <r>
      <rPr>
        <sz val="11"/>
        <color theme="1"/>
        <rFont val="ＭＳ Ｐゴシック"/>
        <family val="3"/>
        <charset val="128"/>
        <scheme val="minor"/>
      </rPr>
      <t>薇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</si>
  <si>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黑麦威士忌;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麦芽威士忌; 混合威士忌酒;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</si>
  <si>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t>妒天香 D9</t>
  </si>
  <si>
    <r>
      <t>河南融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器械有限公司</t>
    </r>
  </si>
  <si>
    <r>
      <t>葡萄酒; 清酒（日本米酒）; 白酒; 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</si>
  <si>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文化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</si>
  <si>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阳大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</si>
  <si>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高粱酒; 烈酒; 白酒; 果酒;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米酒</t>
    </r>
  </si>
  <si>
    <r>
      <t>赖</t>
    </r>
    <r>
      <rPr>
        <sz val="11"/>
        <color theme="1"/>
        <rFont val="ＭＳ Ｐゴシック"/>
        <family val="3"/>
        <charset val="128"/>
        <scheme val="minor"/>
      </rPr>
      <t>嘉荣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</si>
  <si>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赖</t>
    </r>
    <r>
      <rPr>
        <sz val="11"/>
        <color theme="1"/>
        <rFont val="ＭＳ Ｐゴシック"/>
        <family val="3"/>
        <charset val="128"/>
        <scheme val="minor"/>
      </rPr>
      <t>世家酒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</si>
  <si>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威士忌;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清酒（日本米酒）;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</si>
  <si>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卉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</si>
  <si>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鲜艳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</si>
  <si>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朗姆酒; 果酒（含酒精）; 清酒（日本米酒）;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伏特加酒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</si>
  <si>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基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</si>
  <si>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州盛世黔途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</si>
  <si>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</t>
    </r>
  </si>
  <si>
    <r>
      <t>隆</t>
    </r>
    <r>
      <rPr>
        <sz val="11"/>
        <color theme="1"/>
        <rFont val="ＭＳ Ｐゴシック"/>
        <family val="3"/>
        <charset val="134"/>
        <scheme val="minor"/>
      </rPr>
      <t>师亲</t>
    </r>
    <r>
      <rPr>
        <sz val="11"/>
        <color theme="1"/>
        <rFont val="ＭＳ Ｐゴシック"/>
        <family val="3"/>
        <charset val="128"/>
        <scheme val="minor"/>
      </rPr>
      <t>友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</si>
  <si>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晟</t>
    </r>
    <r>
      <rPr>
        <sz val="11"/>
        <color theme="1"/>
        <rFont val="ＭＳ Ｐゴシック"/>
        <family val="3"/>
        <charset val="134"/>
        <scheme val="minor"/>
      </rPr>
      <t>贻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</si>
  <si>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黄酒; 米酒; 清酒; 高粱酒; 烈酒;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</si>
  <si>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r>
      <t>吾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粮</t>
    </r>
  </si>
  <si>
    <r>
      <t>保定市喆宸商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</si>
  <si>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威士忌; 伏特加酒; 白酒</t>
    </r>
  </si>
  <si>
    <r>
      <t>匠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祖(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州)白酒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</si>
  <si>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米酒;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白干酒（中国白酒）; 果酒; 高粱酒; 清酒; 黄酒</t>
    </r>
  </si>
  <si>
    <r>
      <t>广州市国粮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</si>
  <si>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黄酒</t>
    </r>
  </si>
  <si>
    <r>
      <t>珩阳醇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</si>
  <si>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安徽省珩阳商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</si>
  <si>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</si>
  <si>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米酒;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蜂蜜酒; 果酒（含酒精）</t>
    </r>
  </si>
  <si>
    <t>GEE UP</t>
  </si>
  <si>
    <t>烟台海市葡萄酒有限公司</t>
  </si>
  <si>
    <r>
      <t>葡萄酒; 威士忌; 朗姆酒;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</si>
  <si>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齐</t>
    </r>
    <r>
      <rPr>
        <sz val="11"/>
        <color theme="1"/>
        <rFont val="ＭＳ Ｐゴシック"/>
        <family val="3"/>
        <charset val="128"/>
        <scheme val="minor"/>
      </rPr>
      <t>之技</t>
    </r>
    <r>
      <rPr>
        <sz val="11"/>
        <color theme="1"/>
        <rFont val="ＭＳ Ｐゴシック"/>
        <family val="3"/>
        <charset val="134"/>
        <scheme val="minor"/>
      </rPr>
      <t>击</t>
    </r>
  </si>
  <si>
    <r>
      <t>宁夏阳阳国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塞城酒庄有限公司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</si>
  <si>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甜果酒;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起泡白葡萄酒; 果酒（含酒精）</t>
    </r>
  </si>
  <si>
    <t>小聚知行</t>
  </si>
  <si>
    <r>
      <t>湖南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来小聚酒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</si>
  <si>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</si>
  <si>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遵楠渡</t>
  </si>
  <si>
    <r>
      <t>万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星</t>
    </r>
  </si>
  <si>
    <r>
      <t>白酒; 餐后酒（利口酒和烈酒）; 葡萄酒; 威士忌;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</t>
    </r>
  </si>
  <si>
    <t>赤珠滴</t>
  </si>
  <si>
    <r>
      <t>吐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番市葡陶</t>
    </r>
    <r>
      <rPr>
        <sz val="11"/>
        <color theme="1"/>
        <rFont val="ＭＳ Ｐゴシック"/>
        <family val="3"/>
        <charset val="134"/>
        <scheme val="minor"/>
      </rPr>
      <t>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</si>
  <si>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餐后酒（利口酒和烈酒）;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酸酒（低等葡萄酒）; 利口酒; 葡萄酒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</si>
  <si>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川市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宁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夏供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</si>
  <si>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清酒; 白酒;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</si>
  <si>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CZ</t>
  </si>
  <si>
    <t>超正（福建）食品科技有限公司</t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</si>
  <si>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白酒; 伏特加酒; 朗姆酒; 餐后酒（利口酒和烈酒）; 果酒（含酒精）;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</si>
  <si>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小聚知交</t>
  </si>
  <si>
    <r>
      <t xml:space="preserve">黄酒; 果酒（含酒精）;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</si>
  <si>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链</t>
    </r>
    <r>
      <rPr>
        <sz val="11"/>
        <color theme="1"/>
        <rFont val="ＭＳ Ｐゴシック"/>
        <family val="3"/>
        <charset val="128"/>
        <scheme val="minor"/>
      </rPr>
      <t>智采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</si>
  <si>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链</t>
    </r>
    <r>
      <rPr>
        <sz val="11"/>
        <color theme="1"/>
        <rFont val="ＭＳ Ｐゴシック"/>
        <family val="3"/>
        <charset val="128"/>
        <scheme val="minor"/>
      </rPr>
      <t>智采工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科技（深圳）有限公司</t>
    </r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</si>
  <si>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</si>
  <si>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安徽美好仁家网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</si>
  <si>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</t>
    </r>
  </si>
  <si>
    <t>AK MARWAYIT</t>
  </si>
  <si>
    <r>
      <t>莎</t>
    </r>
    <r>
      <rPr>
        <sz val="11"/>
        <color theme="1"/>
        <rFont val="ＭＳ Ｐゴシック"/>
        <family val="3"/>
        <charset val="134"/>
        <scheme val="minor"/>
      </rPr>
      <t>车县</t>
    </r>
    <r>
      <rPr>
        <sz val="11"/>
        <color theme="1"/>
        <rFont val="ＭＳ Ｐゴシック"/>
        <family val="3"/>
        <charset val="128"/>
        <scheme val="minor"/>
      </rPr>
      <t>白珍珠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</si>
  <si>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</si>
  <si>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CHAOZHENG</t>
  </si>
  <si>
    <r>
      <t>果酒（含酒精）; 伏特加酒; 白酒; 朗姆酒;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露酒</t>
    </r>
  </si>
  <si>
    <t>楚之申息</t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</si>
  <si>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起泡白葡萄酒;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白酒; 甜果酒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</si>
  <si>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之材士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</si>
  <si>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起泡白葡萄酒; 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甜果酒</t>
    </r>
  </si>
  <si>
    <t>寰九·百花香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</si>
  <si>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州李</t>
    </r>
    <r>
      <rPr>
        <sz val="11"/>
        <color theme="1"/>
        <rFont val="ＭＳ Ｐゴシック"/>
        <family val="3"/>
        <charset val="134"/>
        <scheme val="minor"/>
      </rPr>
      <t>兴发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</si>
  <si>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汽酒; 果酒（含酒精）; 白酒; 葡萄酒</t>
    </r>
  </si>
  <si>
    <t>元蒙印象</t>
  </si>
  <si>
    <r>
      <t>内蒙古成皇酒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</si>
  <si>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利口酒; 米酒; 汽酒; 黄酒</t>
    </r>
  </si>
  <si>
    <r>
      <t>绎酱</t>
    </r>
    <r>
      <rPr>
        <sz val="11"/>
        <color theme="1"/>
        <rFont val="ＭＳ Ｐゴシック"/>
        <family val="3"/>
        <charset val="128"/>
        <scheme val="minor"/>
      </rPr>
      <t>酒窖</t>
    </r>
  </si>
  <si>
    <t>王堃</t>
  </si>
  <si>
    <t>福韵厚德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</si>
  <si>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厚德福韵工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</si>
  <si>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</si>
  <si>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小聚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朋</t>
    </r>
  </si>
  <si>
    <r>
      <t>开胃酒;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黄酒;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</si>
  <si>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ABINITIO</t>
  </si>
  <si>
    <r>
      <t>莆田市梦聚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</si>
  <si>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利口酒;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果酒; 米酒</t>
    </r>
  </si>
  <si>
    <t>小聚知恩</t>
  </si>
  <si>
    <r>
      <t>果酒（含酒精）; 白酒;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</si>
  <si>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阿梨二十好</t>
    </r>
    <r>
      <rPr>
        <sz val="11"/>
        <color theme="1"/>
        <rFont val="ＭＳ Ｐゴシック"/>
        <family val="3"/>
        <charset val="134"/>
        <scheme val="minor"/>
      </rPr>
      <t>挤</t>
    </r>
  </si>
  <si>
    <r>
      <t>余念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</si>
  <si>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白葡萄酒;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</t>
    </r>
  </si>
  <si>
    <t>光良 5005</t>
  </si>
  <si>
    <r>
      <t>四川光良酒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</si>
  <si>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梅酒; 果酒; 青稞酒; 开胃酒; 白酒; 甜果酒; 葡萄酒</t>
    </r>
  </si>
  <si>
    <t>沾 至醇 酒</t>
  </si>
  <si>
    <r>
      <t>华择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</si>
  <si>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黄酒</t>
    </r>
  </si>
  <si>
    <r>
      <t>德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</si>
  <si>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州鑫星科技有限公司</t>
    </r>
  </si>
  <si>
    <r>
      <t xml:space="preserve">清酒; 白酒; 葡萄酒; 蒸煮提取物（利口酒和烈酒）;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</t>
    </r>
  </si>
  <si>
    <r>
      <t>青山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年藏 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袋</t>
    </r>
  </si>
  <si>
    <t>郭国新******************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</si>
  <si>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高粱酒; 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</t>
    </r>
  </si>
  <si>
    <r>
      <t>紫中云</t>
    </r>
    <r>
      <rPr>
        <sz val="11"/>
        <color theme="1"/>
        <rFont val="ＭＳ Ｐゴシック"/>
        <family val="3"/>
        <charset val="134"/>
        <scheme val="minor"/>
      </rPr>
      <t>鉴</t>
    </r>
    <r>
      <rPr>
        <sz val="11"/>
        <color theme="1"/>
        <rFont val="ＭＳ Ｐゴシック"/>
        <family val="3"/>
        <charset val="128"/>
        <scheme val="minor"/>
      </rPr>
      <t>山水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</si>
  <si>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州康晨拓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</si>
  <si>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餐后酒（利口酒和烈酒）; 苹果酒</t>
    </r>
  </si>
  <si>
    <r>
      <t>艾</t>
    </r>
    <r>
      <rPr>
        <sz val="11"/>
        <color theme="1"/>
        <rFont val="ＭＳ Ｐゴシック"/>
        <family val="3"/>
        <charset val="134"/>
        <scheme val="minor"/>
      </rPr>
      <t>尔马</t>
    </r>
  </si>
  <si>
    <t>深圳芒格科技有限公司</t>
  </si>
  <si>
    <r>
      <t>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</si>
  <si>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阳光日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</si>
  <si>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吴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娣</t>
    </r>
  </si>
  <si>
    <t>米酒; 梅酒; 白酒; 酸酒（低等葡萄酒）; 甜酒; 清酒; 果酒（含酒精）; 高粱酒; 草莓酒; 烈酒</t>
  </si>
  <si>
    <t>桾墨柏</t>
  </si>
  <si>
    <r>
      <t>兴义</t>
    </r>
    <r>
      <rPr>
        <sz val="11"/>
        <color theme="1"/>
        <rFont val="ＭＳ Ｐゴシック"/>
        <family val="3"/>
        <charset val="128"/>
        <scheme val="minor"/>
      </rPr>
      <t>市青晨教育咨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</si>
  <si>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清酒（日本米酒）; 黄酒; 白酒;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朗姆酒; 开胃酒</t>
    </r>
  </si>
  <si>
    <t>礼林窖</t>
  </si>
  <si>
    <t>洪字有</t>
  </si>
  <si>
    <r>
      <t xml:space="preserve">米酒; 利口酒; 烈酒; 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</t>
    </r>
  </si>
  <si>
    <t>奥巴牛</t>
  </si>
  <si>
    <r>
      <t>陈</t>
    </r>
    <r>
      <rPr>
        <sz val="11"/>
        <color theme="1"/>
        <rFont val="ＭＳ Ｐゴシック"/>
        <family val="3"/>
        <charset val="128"/>
        <scheme val="minor"/>
      </rPr>
      <t>育生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</si>
  <si>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烈酒;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清酒; 葡萄酒</t>
    </r>
  </si>
  <si>
    <t>WHITE KNIGHT</t>
  </si>
  <si>
    <t>北京点名科技有限公司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</si>
  <si>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朗姆酒; 葡萄酒; 杜松子酒; 清酒（日本米酒）; 威士忌; 白酒</t>
    </r>
  </si>
  <si>
    <t>南清窖</t>
  </si>
  <si>
    <r>
      <t>云南云酒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</si>
  <si>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烈酒; 白酒; 甜酒; 葡萄酒; 食用酒精; 露酒; 果酒; 米酒; 白干酒（中国白酒）; 清酒</t>
  </si>
  <si>
    <t>小聚知遇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</si>
  <si>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</si>
  <si>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食用酒精; 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伏特加酒;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</si>
  <si>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同天下</t>
    </r>
  </si>
  <si>
    <r>
      <t>楚云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</si>
  <si>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葡萄酒;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白干酒（中国白酒）;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白酒; 高粱酒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</si>
  <si>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尚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</si>
  <si>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河北衡水老白干酒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</si>
  <si>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米酒; 白干酒（中国白酒）; 餐后酒（利口酒和烈酒）; 果酒（含酒精）;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</si>
  <si>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醒藏</t>
  </si>
  <si>
    <r>
      <t>吉祥</t>
    </r>
    <r>
      <rPr>
        <sz val="11"/>
        <color theme="1"/>
        <rFont val="ＭＳ Ｐゴシック"/>
        <family val="3"/>
        <charset val="134"/>
        <scheme val="minor"/>
      </rPr>
      <t>寻</t>
    </r>
    <r>
      <rPr>
        <sz val="11"/>
        <color theme="1"/>
        <rFont val="ＭＳ Ｐゴシック"/>
        <family val="3"/>
        <charset val="128"/>
        <scheme val="minor"/>
      </rPr>
      <t>香城文化科技(北京)有限公司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</si>
  <si>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白酒; 葡萄酒</t>
    </r>
  </si>
  <si>
    <t>WDNI 万蒂尼</t>
  </si>
  <si>
    <r>
      <t>万</t>
    </r>
    <r>
      <rPr>
        <sz val="11"/>
        <color theme="1"/>
        <rFont val="ＭＳ Ｐゴシック"/>
        <family val="3"/>
        <charset val="134"/>
        <scheme val="minor"/>
      </rPr>
      <t>许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</si>
  <si>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威士忌; 清酒（日本米酒）; 酸酒（低等葡萄酒）;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</t>
    </r>
  </si>
  <si>
    <t>肆拾得一味</t>
  </si>
  <si>
    <r>
      <t>田德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</si>
  <si>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威士忌; 伏特加酒;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</si>
  <si>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亣</t>
    </r>
    <r>
      <rPr>
        <sz val="11"/>
        <color theme="1"/>
        <rFont val="ＭＳ Ｐゴシック"/>
        <family val="3"/>
        <charset val="128"/>
        <scheme val="minor"/>
      </rPr>
      <t>同九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</si>
  <si>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金旭</t>
    </r>
  </si>
  <si>
    <r>
      <t xml:space="preserve">黄酒; 高粱酒; 葡萄酒; 米酒; 烈酒; 清酒; 果酒;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</si>
  <si>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思</t>
    </r>
  </si>
  <si>
    <r>
      <t>黄桂</t>
    </r>
    <r>
      <rPr>
        <sz val="11"/>
        <color theme="1"/>
        <rFont val="ＭＳ Ｐゴシック"/>
        <family val="3"/>
        <charset val="134"/>
        <scheme val="minor"/>
      </rPr>
      <t>婵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</si>
  <si>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利口酒; 果酒（含酒精）; 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</si>
  <si>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青山流</t>
  </si>
  <si>
    <r>
      <t>权绍</t>
    </r>
    <r>
      <rPr>
        <sz val="11"/>
        <color theme="1"/>
        <rFont val="ＭＳ Ｐゴシック"/>
        <family val="3"/>
        <charset val="128"/>
        <scheme val="minor"/>
      </rPr>
      <t>虎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</si>
  <si>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</si>
  <si>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r>
      <t>恒</t>
    </r>
    <r>
      <rPr>
        <sz val="11"/>
        <color theme="1"/>
        <rFont val="ＭＳ Ｐゴシック"/>
        <family val="3"/>
        <charset val="134"/>
        <scheme val="minor"/>
      </rPr>
      <t>润发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</si>
  <si>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</si>
  <si>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 xml:space="preserve">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果酒（含酒精）; 葡萄酒; 朗姆酒;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</si>
  <si>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道彭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祖</t>
    </r>
  </si>
  <si>
    <r>
      <t>彭</t>
    </r>
    <r>
      <rPr>
        <sz val="11"/>
        <color theme="1"/>
        <rFont val="ＭＳ Ｐゴシック"/>
        <family val="3"/>
        <charset val="134"/>
        <scheme val="minor"/>
      </rPr>
      <t>鸣</t>
    </r>
    <r>
      <rPr>
        <sz val="11"/>
        <color theme="1"/>
        <rFont val="ＭＳ Ｐゴシック"/>
        <family val="3"/>
        <charset val="128"/>
        <scheme val="minor"/>
      </rPr>
      <t>昊</t>
    </r>
  </si>
  <si>
    <r>
      <t>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开胃酒; 蜂蜜酒; 白酒; 米酒; 葡萄酒</t>
    </r>
  </si>
  <si>
    <r>
      <t>巫溪好食</t>
    </r>
    <r>
      <rPr>
        <sz val="11"/>
        <color theme="1"/>
        <rFont val="ＭＳ Ｐゴシック"/>
        <family val="3"/>
        <charset val="134"/>
        <scheme val="minor"/>
      </rPr>
      <t>际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</si>
  <si>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庆绿</t>
    </r>
    <r>
      <rPr>
        <sz val="11"/>
        <color theme="1"/>
        <rFont val="ＭＳ Ｐゴシック"/>
        <family val="3"/>
        <charset val="128"/>
        <scheme val="minor"/>
      </rPr>
      <t>盛源食品有限公司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</si>
  <si>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高粱酒; 果酒; 露酒;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蒸煮提取物（利口酒和烈酒）</t>
    </r>
  </si>
  <si>
    <t>PASSWAY</t>
  </si>
  <si>
    <r>
      <t>宁德荣道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</si>
  <si>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餐后酒（利口酒和烈酒）;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</si>
  <si>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良粥世家</t>
  </si>
  <si>
    <t>杭州名杰科技有限公司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</si>
  <si>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薄荷酒; 黄酒; 米酒;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</t>
    </r>
  </si>
  <si>
    <t>帝邑豪</t>
  </si>
  <si>
    <r>
      <t>亿</t>
    </r>
    <r>
      <rPr>
        <sz val="11"/>
        <color theme="1"/>
        <rFont val="ＭＳ Ｐゴシック"/>
        <family val="3"/>
        <charset val="128"/>
        <scheme val="minor"/>
      </rPr>
      <t>晟烈酒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（香港）有限公司</t>
    </r>
  </si>
  <si>
    <r>
      <t>伏特加酒; 葡萄酒; 威士忌;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果酒（含酒精）</t>
    </r>
  </si>
  <si>
    <r>
      <t>博陵古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 xml:space="preserve"> BOLING ANCIENT TREE</t>
    </r>
  </si>
  <si>
    <r>
      <t>深州古梨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</si>
  <si>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甜果酒; 果酒（含酒精）;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开胃酒; 梨酒; 水果汽酒;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</si>
  <si>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福聚永</t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</si>
  <si>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龙酝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</si>
  <si>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米酒; 清酒（日本米酒）; 葡萄酒; 威士忌; 朗姆酒;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</si>
  <si>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云南新中</t>
    </r>
    <r>
      <rPr>
        <sz val="11"/>
        <color theme="1"/>
        <rFont val="ＭＳ Ｐゴシック"/>
        <family val="3"/>
        <charset val="134"/>
        <scheme val="minor"/>
      </rPr>
      <t>劲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</si>
  <si>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</si>
  <si>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树军</t>
    </r>
    <r>
      <rPr>
        <sz val="11"/>
        <color theme="1"/>
        <rFont val="ＭＳ Ｐゴシック"/>
        <family val="3"/>
        <charset val="128"/>
        <scheme val="minor"/>
      </rPr>
      <t>梁伯</t>
    </r>
  </si>
  <si>
    <r>
      <t>西丰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大自然家庭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</si>
  <si>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开胃酒; 葡萄酒</t>
    </r>
  </si>
  <si>
    <t>三只猪仔</t>
  </si>
  <si>
    <t>广州探嘴食品有限公司</t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</si>
  <si>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杜松子酒; 利口酒; 清酒（日本米酒）;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酸酒（低等葡萄酒）; 梨酒; 葡萄酒</t>
    </r>
  </si>
  <si>
    <t>睿庭</t>
  </si>
  <si>
    <r>
      <t>浙江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睿餐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</si>
  <si>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汽酒; 威士忌; 白酒; 葡萄酒; 黄酒;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</si>
  <si>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市透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</si>
  <si>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</si>
  <si>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贵鲟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</si>
  <si>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鲟</t>
    </r>
    <r>
      <rPr>
        <sz val="11"/>
        <color theme="1"/>
        <rFont val="ＭＳ Ｐゴシック"/>
        <family val="3"/>
        <charset val="128"/>
        <scheme val="minor"/>
      </rPr>
      <t>都食品有限公司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</si>
  <si>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汽酒; 甜酒; 米酒; 葡萄酒</t>
    </r>
  </si>
  <si>
    <t>糯田黄</t>
  </si>
  <si>
    <r>
      <t>韬龙汇</t>
    </r>
    <r>
      <rPr>
        <sz val="11"/>
        <color theme="1"/>
        <rFont val="ＭＳ Ｐゴシック"/>
        <family val="3"/>
        <charset val="128"/>
        <scheme val="minor"/>
      </rPr>
      <t>（武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）信息科技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</si>
  <si>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五加皮酒（中国混合烈酒）; 水果汽酒; 白葡萄酒; 米酒; 白酒; 黄酒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</si>
  <si>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面坊·江南会客</t>
    </r>
    <r>
      <rPr>
        <sz val="11"/>
        <color theme="1"/>
        <rFont val="ＭＳ Ｐゴシック"/>
        <family val="3"/>
        <charset val="134"/>
        <scheme val="minor"/>
      </rPr>
      <t>厅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</si>
  <si>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面坊餐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</si>
  <si>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果酒; 烈酒;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</si>
  <si>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贵鲟</t>
    </r>
    <r>
      <rPr>
        <sz val="11"/>
        <color theme="1"/>
        <rFont val="ＭＳ Ｐゴシック"/>
        <family val="3"/>
        <charset val="128"/>
        <scheme val="minor"/>
      </rPr>
      <t>百尊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</si>
  <si>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甜酒; 葡萄酒;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白酒</t>
    </r>
  </si>
  <si>
    <r>
      <t>贵鲟</t>
    </r>
    <r>
      <rPr>
        <sz val="11"/>
        <color theme="1"/>
        <rFont val="ＭＳ Ｐゴシック"/>
        <family val="3"/>
        <charset val="128"/>
        <scheme val="minor"/>
      </rPr>
      <t>曲坊</t>
    </r>
  </si>
  <si>
    <r>
      <t>白酒;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</si>
  <si>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画学</t>
  </si>
  <si>
    <r>
      <t>北京燕园同人文化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</si>
  <si>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烈性干酒;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果酒;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水果汽酒</t>
    </r>
  </si>
  <si>
    <t>YUAN QING HUA JIU</t>
  </si>
  <si>
    <r>
      <t>中国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商集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控股有限公司</t>
    </r>
  </si>
  <si>
    <r>
      <t xml:space="preserve">烈酒;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黄酒; 白酒;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</si>
  <si>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寅源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</si>
  <si>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寅源餐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</si>
  <si>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伏特加酒; 高粱酒; 苹果酒; 黄酒; 蜂蜜酒; 果酒（含酒精）;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</si>
  <si>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酉水河壹号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</si>
  <si>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酉水河酒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</si>
  <si>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白葡萄酒; 烈酒; 黄酒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</si>
  <si>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烈酒; 白酒; 梅酒</t>
    </r>
  </si>
  <si>
    <r>
      <t>勃</t>
    </r>
    <r>
      <rPr>
        <sz val="11"/>
        <color theme="1"/>
        <rFont val="ＭＳ Ｐゴシック"/>
        <family val="3"/>
        <charset val="134"/>
        <scheme val="minor"/>
      </rPr>
      <t>发</t>
    </r>
  </si>
  <si>
    <t>王彦祥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</si>
  <si>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</si>
  <si>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红颜时</t>
    </r>
    <r>
      <rPr>
        <sz val="11"/>
        <color theme="1"/>
        <rFont val="ＭＳ Ｐゴシック"/>
        <family val="3"/>
        <charset val="128"/>
        <scheme val="minor"/>
      </rPr>
      <t>代</t>
    </r>
  </si>
  <si>
    <r>
      <t>庐</t>
    </r>
    <r>
      <rPr>
        <sz val="11"/>
        <color theme="1"/>
        <rFont val="ＭＳ Ｐゴシック"/>
        <family val="3"/>
        <charset val="128"/>
        <scheme val="minor"/>
      </rPr>
      <t>江自然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</si>
  <si>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</si>
  <si>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玻清</t>
  </si>
  <si>
    <t>湖北本草制酒厂有限公司</t>
  </si>
  <si>
    <r>
      <t>黄酒; 伏特加酒;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</si>
  <si>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t>平特</t>
  </si>
  <si>
    <r>
      <t>湖南平特商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</si>
  <si>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蜂蜜酒</t>
    </r>
  </si>
  <si>
    <t>菀聚黔城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</si>
  <si>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莞市莞聚黔庄管理有限公司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</si>
  <si>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薄荷酒; 食用酒精; 果酒（含酒精）; 蒸煮提取物（利口酒和烈酒）;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</si>
  <si>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京今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山水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</si>
  <si>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宋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</si>
  <si>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食用酒精; 黄酒; 米酒; 果酒;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</t>
    </r>
  </si>
  <si>
    <t>千本宜草</t>
  </si>
  <si>
    <r>
      <t>宋</t>
    </r>
    <r>
      <rPr>
        <sz val="11"/>
        <color theme="1"/>
        <rFont val="ＭＳ Ｐゴシック"/>
        <family val="3"/>
        <charset val="134"/>
        <scheme val="minor"/>
      </rPr>
      <t>帅</t>
    </r>
  </si>
  <si>
    <r>
      <t xml:space="preserve">果酒（含酒精）; 白酒; 黄酒; 伏特加酒; 烈酒; 葡萄酒;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</si>
  <si>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冶院</t>
    </r>
  </si>
  <si>
    <r>
      <t>中开水生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治理有限公司</t>
    </r>
  </si>
  <si>
    <r>
      <t>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高粱酒; 米酒;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</t>
    </r>
  </si>
  <si>
    <r>
      <t>馫</t>
    </r>
    <r>
      <rPr>
        <sz val="11"/>
        <color theme="1"/>
        <rFont val="ＭＳ Ｐゴシック"/>
        <family val="3"/>
        <charset val="134"/>
        <scheme val="minor"/>
      </rPr>
      <t>摊</t>
    </r>
  </si>
  <si>
    <r>
      <t>白葡萄酒;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高粱酒; 米酒; 烈酒; 水果汽酒; 黄酒; 五加皮酒（中国混合烈酒）</t>
    </r>
  </si>
  <si>
    <r>
      <t>贵鲟</t>
    </r>
    <r>
      <rPr>
        <sz val="11"/>
        <color theme="1"/>
        <rFont val="ＭＳ Ｐゴシック"/>
        <family val="3"/>
        <charset val="128"/>
        <scheme val="minor"/>
      </rPr>
      <t>醇品</t>
    </r>
  </si>
  <si>
    <r>
      <t>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</t>
    </r>
  </si>
  <si>
    <r>
      <t xml:space="preserve">黄酒; 蒸煮提取物（利口酒和烈酒）; 威士忌; 食用酒精; 白酒;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果酒</t>
    </r>
  </si>
  <si>
    <t>花石崖</t>
  </si>
  <si>
    <t>刘芳芳</t>
  </si>
  <si>
    <r>
      <t xml:space="preserve">甜酒; 黄酒; 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</t>
    </r>
  </si>
  <si>
    <r>
      <t>烈酒; 食用酒精;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威士忌; 白酒; 蒸煮提取物（利口酒和烈酒）;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</t>
    </r>
  </si>
  <si>
    <t>姜洪珠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</si>
  <si>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伏特加酒</t>
    </r>
  </si>
  <si>
    <t>温州弘光鞋材有限公司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</si>
  <si>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</si>
  <si>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一品宗沙</t>
  </si>
  <si>
    <r>
      <t>邹</t>
    </r>
    <r>
      <rPr>
        <sz val="11"/>
        <color theme="1"/>
        <rFont val="ＭＳ Ｐゴシック"/>
        <family val="3"/>
        <charset val="128"/>
        <scheme val="minor"/>
      </rPr>
      <t>湘波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</si>
  <si>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果酒（含酒精）;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</t>
    </r>
  </si>
  <si>
    <r>
      <t>旅游</t>
    </r>
    <r>
      <rPr>
        <sz val="11"/>
        <color theme="1"/>
        <rFont val="ＭＳ Ｐゴシック"/>
        <family val="3"/>
        <charset val="134"/>
        <scheme val="minor"/>
      </rPr>
      <t>窝</t>
    </r>
  </si>
  <si>
    <r>
      <t>四川国</t>
    </r>
    <r>
      <rPr>
        <sz val="11"/>
        <color theme="1"/>
        <rFont val="ＭＳ Ｐゴシック"/>
        <family val="3"/>
        <charset val="134"/>
        <scheme val="minor"/>
      </rPr>
      <t>视风</t>
    </r>
    <r>
      <rPr>
        <sz val="11"/>
        <color theme="1"/>
        <rFont val="ＭＳ Ｐゴシック"/>
        <family val="3"/>
        <charset val="128"/>
        <scheme val="minor"/>
      </rPr>
      <t>采文化有限公司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</si>
  <si>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甜酒; 梨酒;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杜松子酒; 蜂蜜酒; 果酒; 苹果酒</t>
    </r>
  </si>
  <si>
    <r>
      <t>领</t>
    </r>
    <r>
      <rPr>
        <sz val="11"/>
        <color theme="1"/>
        <rFont val="ＭＳ Ｐゴシック"/>
        <family val="3"/>
        <charset val="128"/>
        <scheme val="minor"/>
      </rPr>
      <t>运</t>
    </r>
  </si>
  <si>
    <r>
      <t>德州地利酒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</si>
  <si>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伏特加酒; 黄酒; 白酒</t>
    </r>
  </si>
  <si>
    <t>METISSAGE</t>
  </si>
  <si>
    <r>
      <t>都古</t>
    </r>
    <r>
      <rPr>
        <sz val="11"/>
        <color theme="1"/>
        <rFont val="ＭＳ Ｐゴシック"/>
        <family val="3"/>
        <charset val="134"/>
        <scheme val="minor"/>
      </rPr>
      <t>鳄</t>
    </r>
    <r>
      <rPr>
        <sz val="11"/>
        <color theme="1"/>
        <rFont val="ＭＳ Ｐゴシック"/>
        <family val="3"/>
        <charset val="128"/>
        <scheme val="minor"/>
      </rPr>
      <t>有机葡萄酒</t>
    </r>
  </si>
  <si>
    <r>
      <t xml:space="preserve">葡萄酒; 薄荷酒; 米酒; 青稞酒; 白酒; 苹果酒;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</si>
  <si>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超吉火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</si>
  <si>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庆华亿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</si>
  <si>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威士忌; 果酒（含酒精）; 葡萄酒; 白酒;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</si>
  <si>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潞</t>
    </r>
    <r>
      <rPr>
        <sz val="11"/>
        <color theme="1"/>
        <rFont val="ＭＳ Ｐゴシック"/>
        <family val="3"/>
        <charset val="134"/>
        <scheme val="minor"/>
      </rPr>
      <t>矿</t>
    </r>
  </si>
  <si>
    <r>
      <t>山西春笋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器有限公司</t>
    </r>
  </si>
  <si>
    <r>
      <t xml:space="preserve">蜂蜜酒; 葡萄酒;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果酒（含酒精）; 白酒</t>
    </r>
  </si>
  <si>
    <r>
      <t>巧言焦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</si>
  <si>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蔚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上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</si>
  <si>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</si>
  <si>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 xml:space="preserve">烈酒; 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食用酒精; 米酒; 白酒; 黄酒; 蒸煮提取物（利口酒和烈酒）; 威士忌;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</si>
  <si>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烈酒; 食用酒精; 米酒; 威士忌;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</si>
  <si>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t>明英泰斗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</si>
  <si>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市李明英酒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</si>
  <si>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白酒; 露酒; 青稞酒; 黄酒;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果酒（含酒精）</t>
    </r>
  </si>
  <si>
    <t>黄河儿女</t>
  </si>
  <si>
    <r>
      <t>智客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</si>
  <si>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苹果酒;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</si>
  <si>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遇</t>
    </r>
    <r>
      <rPr>
        <sz val="11"/>
        <color theme="1"/>
        <rFont val="ＭＳ Ｐゴシック"/>
        <family val="3"/>
        <charset val="134"/>
        <scheme val="minor"/>
      </rPr>
      <t>见长</t>
    </r>
    <r>
      <rPr>
        <sz val="11"/>
        <color theme="1"/>
        <rFont val="ＭＳ Ｐゴシック"/>
        <family val="3"/>
        <charset val="128"/>
        <scheme val="minor"/>
      </rPr>
      <t>堰</t>
    </r>
  </si>
  <si>
    <r>
      <t>上海遇</t>
    </r>
    <r>
      <rPr>
        <sz val="11"/>
        <color theme="1"/>
        <rFont val="ＭＳ Ｐゴシック"/>
        <family val="3"/>
        <charset val="134"/>
        <scheme val="minor"/>
      </rPr>
      <t>见长</t>
    </r>
    <r>
      <rPr>
        <sz val="11"/>
        <color theme="1"/>
        <rFont val="ＭＳ Ｐゴシック"/>
        <family val="3"/>
        <charset val="128"/>
        <scheme val="minor"/>
      </rPr>
      <t>堰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</si>
  <si>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黄酒; 米酒; 蜂蜜酒;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梨酒;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</si>
  <si>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皇</t>
    </r>
    <r>
      <rPr>
        <sz val="11"/>
        <color theme="1"/>
        <rFont val="ＭＳ Ｐゴシック"/>
        <family val="3"/>
        <charset val="134"/>
        <scheme val="minor"/>
      </rPr>
      <t>岗</t>
    </r>
    <r>
      <rPr>
        <sz val="11"/>
        <color theme="1"/>
        <rFont val="ＭＳ Ｐゴシック"/>
        <family val="3"/>
        <charset val="128"/>
        <scheme val="minor"/>
      </rPr>
      <t>祠堂</t>
    </r>
  </si>
  <si>
    <r>
      <t>深圳市皇</t>
    </r>
    <r>
      <rPr>
        <sz val="11"/>
        <color theme="1"/>
        <rFont val="ＭＳ Ｐゴシック"/>
        <family val="3"/>
        <charset val="134"/>
        <scheme val="minor"/>
      </rPr>
      <t>岗实业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</si>
  <si>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果酒;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不起泡葡萄酒; 威士忌; 白酒; 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</si>
  <si>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九牛文</t>
  </si>
  <si>
    <r>
      <t>福建省泉州市星浪酒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</si>
  <si>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食用酒精;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</si>
  <si>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BIO OLIGO PRO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</si>
  <si>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苏汉</t>
    </r>
    <r>
      <rPr>
        <sz val="11"/>
        <color theme="1"/>
        <rFont val="ＭＳ Ｐゴシック"/>
        <family val="3"/>
        <charset val="128"/>
        <scheme val="minor"/>
      </rPr>
      <t>邦科技股份有限公司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</si>
  <si>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黄酒;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</si>
  <si>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华卫</t>
    </r>
    <r>
      <rPr>
        <sz val="11"/>
        <color theme="1"/>
        <rFont val="ＭＳ Ｐゴシック"/>
        <family val="3"/>
        <charset val="128"/>
        <scheme val="minor"/>
      </rPr>
      <t>大胡庄</t>
    </r>
  </si>
  <si>
    <r>
      <t>淮安区</t>
    </r>
    <r>
      <rPr>
        <sz val="11"/>
        <color theme="1"/>
        <rFont val="ＭＳ Ｐゴシック"/>
        <family val="3"/>
        <charset val="134"/>
        <scheme val="minor"/>
      </rPr>
      <t>华卫</t>
    </r>
    <r>
      <rPr>
        <sz val="11"/>
        <color theme="1"/>
        <rFont val="ＭＳ Ｐゴシック"/>
        <family val="3"/>
        <charset val="128"/>
        <scheme val="minor"/>
      </rPr>
      <t>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</si>
  <si>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甘蔗制烈酒; 米酒</t>
    </r>
  </si>
  <si>
    <r>
      <t>上海金硬</t>
    </r>
    <r>
      <rPr>
        <sz val="11"/>
        <color theme="1"/>
        <rFont val="ＭＳ Ｐゴシック"/>
        <family val="3"/>
        <charset val="134"/>
        <scheme val="minor"/>
      </rPr>
      <t>经济发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</si>
  <si>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刺五加酒;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果酒; 高粱酒; 白葡萄酒; 烈酒; 米酒; 麦芽威士忌; 黄酒</t>
    </r>
  </si>
  <si>
    <r>
      <t>蒸煮提取物（利口酒和烈酒）; 米酒; 威士忌; 白酒;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食用酒精; 烈酒; 果酒</t>
    </r>
  </si>
  <si>
    <t>爽酒二林</t>
  </si>
  <si>
    <r>
      <t>卢维</t>
    </r>
    <r>
      <rPr>
        <sz val="11"/>
        <color theme="1"/>
        <rFont val="ＭＳ Ｐゴシック"/>
        <family val="3"/>
        <charset val="128"/>
        <scheme val="minor"/>
      </rPr>
      <t>玖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</si>
  <si>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高粱酒; 白干酒（中国白酒）;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</si>
  <si>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酱顺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</si>
  <si>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州古</t>
    </r>
    <r>
      <rPr>
        <sz val="11"/>
        <color theme="1"/>
        <rFont val="ＭＳ Ｐゴシック"/>
        <family val="3"/>
        <charset val="134"/>
        <scheme val="minor"/>
      </rPr>
      <t>酱顺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</si>
  <si>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白酒; 米酒; 果酒（含酒精）</t>
    </r>
  </si>
  <si>
    <t>开朝大元</t>
  </si>
  <si>
    <t>延安市宝塔区南泥湾酒厂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</si>
  <si>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果酒（含酒精）</t>
    </r>
  </si>
  <si>
    <r>
      <t>依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乾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嘉</t>
    </r>
  </si>
  <si>
    <r>
      <t>张兴</t>
    </r>
    <r>
      <rPr>
        <sz val="11"/>
        <color theme="1"/>
        <rFont val="ＭＳ Ｐゴシック"/>
        <family val="3"/>
        <charset val="128"/>
        <scheme val="minor"/>
      </rPr>
      <t>君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</si>
  <si>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果酒（含酒精）</t>
    </r>
  </si>
  <si>
    <t>迎寅</t>
  </si>
  <si>
    <t>虞朝旺</t>
  </si>
  <si>
    <r>
      <t>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葡萄酒; 果酒</t>
    </r>
  </si>
  <si>
    <t>般大叔 BODSIR</t>
  </si>
  <si>
    <r>
      <t>深圳世成股</t>
    </r>
    <r>
      <rPr>
        <sz val="11"/>
        <color theme="1"/>
        <rFont val="ＭＳ Ｐゴシック"/>
        <family val="3"/>
        <charset val="134"/>
        <scheme val="minor"/>
      </rPr>
      <t>权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基金管理有限公司</t>
    </r>
  </si>
  <si>
    <r>
      <t>葡萄酒; 白酒; 食用酒精; 甜酒; 青梅酒;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</si>
  <si>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t>秦禾唐</t>
  </si>
  <si>
    <r>
      <t>杨</t>
    </r>
    <r>
      <rPr>
        <sz val="11"/>
        <color theme="1"/>
        <rFont val="ＭＳ Ｐゴシック"/>
        <family val="3"/>
        <charset val="128"/>
        <scheme val="minor"/>
      </rPr>
      <t>文博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</si>
  <si>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白酒</t>
    </r>
  </si>
  <si>
    <t>CHINMOO</t>
  </si>
  <si>
    <t>海南秦墨科技有限公司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</si>
  <si>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威士忌;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蜂蜜酒</t>
    </r>
  </si>
  <si>
    <t>深圳市仙之宝食品有限公司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</si>
  <si>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</si>
  <si>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OVEJITA DORADA</t>
  </si>
  <si>
    <r>
      <t>广州酩菲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</si>
  <si>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米酒; 白酒</t>
    </r>
  </si>
  <si>
    <r>
      <t>洁</t>
    </r>
    <r>
      <rPr>
        <sz val="11"/>
        <color theme="1"/>
        <rFont val="ＭＳ Ｐゴシック"/>
        <family val="3"/>
        <charset val="128"/>
        <scheme val="minor"/>
      </rPr>
      <t>柔</t>
    </r>
    <r>
      <rPr>
        <sz val="11"/>
        <color theme="1"/>
        <rFont val="ＭＳ Ｐゴシック"/>
        <family val="3"/>
        <charset val="134"/>
        <scheme val="minor"/>
      </rPr>
      <t>专护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</si>
  <si>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9"/>
        <scheme val="minor"/>
      </rPr>
      <t>洁</t>
    </r>
    <r>
      <rPr>
        <sz val="11"/>
        <color theme="1"/>
        <rFont val="ＭＳ Ｐゴシック"/>
        <family val="3"/>
        <charset val="128"/>
        <scheme val="minor"/>
      </rPr>
      <t>柔</t>
    </r>
    <r>
      <rPr>
        <sz val="11"/>
        <color theme="1"/>
        <rFont val="ＭＳ Ｐゴシック"/>
        <family val="3"/>
        <charset val="134"/>
        <scheme val="minor"/>
      </rPr>
      <t>纸业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</si>
  <si>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白酒; 蜂蜜酒;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清酒（日本米酒）</t>
    </r>
  </si>
  <si>
    <r>
      <t>賨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</si>
  <si>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渠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聚福源国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</si>
  <si>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果酒（含酒精）;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青稞酒;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</si>
  <si>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云尚客</t>
  </si>
  <si>
    <r>
      <t>张庆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</si>
  <si>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</t>
    </r>
  </si>
  <si>
    <t>永泰泰和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</si>
  <si>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永泰酒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</si>
  <si>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蒸煮提取物（利口酒和烈酒）;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露酒;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</si>
  <si>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志</t>
    </r>
  </si>
  <si>
    <t>刘建新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</si>
  <si>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葡萄酒;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</si>
  <si>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萄晶</t>
  </si>
  <si>
    <r>
      <t>西双版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傣后生物科技有限公司</t>
    </r>
  </si>
  <si>
    <r>
      <t>威末酒;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清酒; 露酒;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杜松子酒</t>
    </r>
  </si>
  <si>
    <r>
      <t>花火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</si>
  <si>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州宋窖酒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</si>
  <si>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蜂蜜酒; 清酒;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柑香酒;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</t>
    </r>
  </si>
  <si>
    <t>金典明</t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</si>
  <si>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蒸煮提取物（利口酒和烈酒）;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开胃酒; 苦味酒; 白干酒（中国白酒）</t>
    </r>
  </si>
  <si>
    <r>
      <t>悬</t>
    </r>
    <r>
      <rPr>
        <sz val="11"/>
        <color theme="1"/>
        <rFont val="ＭＳ Ｐゴシック"/>
        <family val="3"/>
        <charset val="128"/>
        <scheme val="minor"/>
      </rPr>
      <t>念</t>
    </r>
  </si>
  <si>
    <r>
      <t>徐俊</t>
    </r>
    <r>
      <rPr>
        <sz val="11"/>
        <color theme="1"/>
        <rFont val="ＭＳ Ｐゴシック"/>
        <family val="3"/>
        <charset val="134"/>
        <scheme val="minor"/>
      </rPr>
      <t>标</t>
    </r>
  </si>
  <si>
    <r>
      <t xml:space="preserve">青稞酒; 黄酒; 高粱酒; 米酒;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</si>
  <si>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小蓬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</si>
  <si>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于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</si>
  <si>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</si>
  <si>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袁学海了凡</t>
  </si>
  <si>
    <r>
      <t>陆</t>
    </r>
    <r>
      <rPr>
        <sz val="11"/>
        <color theme="1"/>
        <rFont val="ＭＳ Ｐゴシック"/>
        <family val="3"/>
        <charset val="128"/>
        <scheme val="minor"/>
      </rPr>
      <t>彩良</t>
    </r>
  </si>
  <si>
    <r>
      <t xml:space="preserve">威士忌; 苹果酒;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葡萄酒; 清酒（日本米酒）; 白酒</t>
    </r>
  </si>
  <si>
    <t>郝延平</t>
  </si>
  <si>
    <r>
      <t>子</t>
    </r>
    <r>
      <rPr>
        <sz val="11"/>
        <color theme="1"/>
        <rFont val="ＭＳ Ｐゴシック"/>
        <family val="3"/>
        <charset val="134"/>
        <scheme val="minor"/>
      </rPr>
      <t>长县</t>
    </r>
    <r>
      <rPr>
        <sz val="11"/>
        <color theme="1"/>
        <rFont val="ＭＳ Ｐゴシック"/>
        <family val="3"/>
        <charset val="128"/>
        <scheme val="minor"/>
      </rPr>
      <t>洋浩酒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</si>
  <si>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米酒; 果酒（含酒精）; 汽酒; 烈酒; 高粱酒; 苦味酒; 利口酒;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</si>
  <si>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壹倍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</si>
  <si>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拓弘食品集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</si>
  <si>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食用酒精; 清酒;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</si>
  <si>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金典捌</t>
  </si>
  <si>
    <r>
      <t>高粱酒; 葡萄酒; 清酒（日本米酒）;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</t>
    </r>
  </si>
  <si>
    <t>永泰泰瑞</t>
  </si>
  <si>
    <r>
      <t xml:space="preserve">露酒;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</si>
  <si>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水</t>
    </r>
    <r>
      <rPr>
        <sz val="11"/>
        <color theme="1"/>
        <rFont val="ＭＳ Ｐゴシック"/>
        <family val="3"/>
        <charset val="134"/>
        <scheme val="minor"/>
      </rPr>
      <t>净</t>
    </r>
    <r>
      <rPr>
        <sz val="11"/>
        <color theme="1"/>
        <rFont val="ＭＳ Ｐゴシック"/>
        <family val="3"/>
        <charset val="128"/>
        <scheme val="minor"/>
      </rPr>
      <t>方 SUJUFU</t>
    </r>
  </si>
  <si>
    <r>
      <t>瑞安市特勒厨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</si>
  <si>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开胃酒; 果酒（含酒精）; 蜂蜜酒; 食用酒精;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</si>
  <si>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金典清</t>
  </si>
  <si>
    <r>
      <t xml:space="preserve">白酒; 开胃酒; 葡萄酒; 白干酒（中国白酒）; 米酒; 蒸煮提取物（利口酒和烈酒）;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</si>
  <si>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金粮</t>
    </r>
  </si>
  <si>
    <r>
      <t>雅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汀化</t>
    </r>
    <r>
      <rPr>
        <sz val="11"/>
        <color theme="1"/>
        <rFont val="ＭＳ Ｐゴシック"/>
        <family val="3"/>
        <charset val="134"/>
        <scheme val="minor"/>
      </rPr>
      <t>妆</t>
    </r>
    <r>
      <rPr>
        <sz val="11"/>
        <color theme="1"/>
        <rFont val="ＭＳ Ｐゴシック"/>
        <family val="3"/>
        <charset val="128"/>
        <scheme val="minor"/>
      </rPr>
      <t>品股份有限公司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</si>
  <si>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</si>
  <si>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澳奔海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</si>
  <si>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智富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</si>
  <si>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白葡萄酒;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起泡白葡萄酒; 白干酒（中国白酒）;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</si>
  <si>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福春王</t>
    </r>
    <r>
      <rPr>
        <sz val="11"/>
        <color theme="1"/>
        <rFont val="ＭＳ Ｐゴシック"/>
        <family val="3"/>
        <charset val="134"/>
        <scheme val="minor"/>
      </rPr>
      <t>记</t>
    </r>
  </si>
  <si>
    <t>王海涛</t>
  </si>
  <si>
    <r>
      <t xml:space="preserve">果酒（含酒精）; 烈酒;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葡萄酒</t>
    </r>
  </si>
  <si>
    <r>
      <t>金典</t>
    </r>
    <r>
      <rPr>
        <sz val="11"/>
        <color theme="1"/>
        <rFont val="ＭＳ Ｐゴシック"/>
        <family val="3"/>
        <charset val="134"/>
        <scheme val="minor"/>
      </rPr>
      <t>贰</t>
    </r>
    <r>
      <rPr>
        <sz val="11"/>
        <color theme="1"/>
        <rFont val="ＭＳ Ｐゴシック"/>
        <family val="3"/>
        <charset val="128"/>
        <scheme val="minor"/>
      </rPr>
      <t>拾伍</t>
    </r>
  </si>
  <si>
    <r>
      <t>白酒; 米酒; 苦味酒; 蒸煮提取物（利口酒和烈酒）;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白干酒（中国白酒）;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</si>
  <si>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S</t>
  </si>
  <si>
    <r>
      <t>宁夏</t>
    </r>
    <r>
      <rPr>
        <sz val="11"/>
        <color theme="1"/>
        <rFont val="ＭＳ Ｐゴシック"/>
        <family val="3"/>
        <charset val="134"/>
        <scheme val="minor"/>
      </rPr>
      <t>烁鲜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</si>
  <si>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清酒（日本米酒）;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</si>
  <si>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永泰泰平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</si>
  <si>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果酒（含酒精）</t>
    </r>
  </si>
  <si>
    <r>
      <t>雾泷</t>
    </r>
    <r>
      <rPr>
        <sz val="11"/>
        <color theme="1"/>
        <rFont val="ＭＳ Ｐゴシック"/>
        <family val="3"/>
        <charset val="128"/>
        <scheme val="minor"/>
      </rPr>
      <t>春</t>
    </r>
  </si>
  <si>
    <t>黄恩恩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</si>
  <si>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食用酒精;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</si>
  <si>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t>多奇塔</t>
  </si>
  <si>
    <r>
      <t>临</t>
    </r>
    <r>
      <rPr>
        <sz val="11"/>
        <color theme="1"/>
        <rFont val="ＭＳ Ｐゴシック"/>
        <family val="3"/>
        <charset val="128"/>
        <scheme val="minor"/>
      </rPr>
      <t>沂</t>
    </r>
    <r>
      <rPr>
        <sz val="11"/>
        <color theme="1"/>
        <rFont val="ＭＳ Ｐゴシック"/>
        <family val="3"/>
        <charset val="134"/>
        <scheme val="minor"/>
      </rPr>
      <t>维庆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</si>
  <si>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甜酒; 烈酒; 果酒; 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</si>
  <si>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金典夏</t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</si>
  <si>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苦味酒; 白干酒（中国白酒）; 开胃酒; 蒸煮提取物（利口酒和烈酒）; 葡萄酒</t>
    </r>
  </si>
  <si>
    <t>NON HOOD</t>
  </si>
  <si>
    <t>西安造翼者科技有限公司</t>
  </si>
  <si>
    <r>
      <t xml:space="preserve">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朗姆酒; 葡萄酒;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</si>
  <si>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舍酒相逢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</si>
  <si>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方巨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</si>
  <si>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白酒; 果酒（含酒精）</t>
    </r>
  </si>
  <si>
    <r>
      <t>胡子送</t>
    </r>
    <r>
      <rPr>
        <sz val="11"/>
        <color theme="1"/>
        <rFont val="ＭＳ Ｐゴシック"/>
        <family val="3"/>
        <charset val="134"/>
        <scheme val="minor"/>
      </rPr>
      <t>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</si>
  <si>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州柴台酒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</si>
  <si>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清酒; 米酒; 白酒; 果酒; 蒸煮提取物（利口酒和烈酒）; 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</si>
  <si>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花月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</si>
  <si>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州花与月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</si>
  <si>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</si>
  <si>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袁</t>
    </r>
    <r>
      <rPr>
        <sz val="11"/>
        <color theme="1"/>
        <rFont val="ＭＳ Ｐゴシック"/>
        <family val="3"/>
        <charset val="134"/>
        <scheme val="minor"/>
      </rPr>
      <t>庆远</t>
    </r>
    <r>
      <rPr>
        <sz val="11"/>
        <color theme="1"/>
        <rFont val="ＭＳ Ｐゴシック"/>
        <family val="3"/>
        <charset val="128"/>
        <scheme val="minor"/>
      </rPr>
      <t>了凡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</si>
  <si>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黄酒; 苹果酒; 葡萄酒; 威士忌; 清酒（日本米酒）</t>
    </r>
  </si>
  <si>
    <r>
      <t>浅</t>
    </r>
    <r>
      <rPr>
        <sz val="11"/>
        <color theme="1"/>
        <rFont val="ＭＳ Ｐゴシック"/>
        <family val="3"/>
        <charset val="134"/>
        <scheme val="minor"/>
      </rPr>
      <t>濑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</si>
  <si>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天禧年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料有限公司</t>
    </r>
  </si>
  <si>
    <r>
      <t>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开胃酒;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</si>
  <si>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丹丹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</si>
  <si>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米酒</t>
    </r>
  </si>
  <si>
    <t>金典宋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</si>
  <si>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开胃酒; 苦味酒;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蒸煮提取物（利口酒和烈酒）; 米酒; 高粱酒; 白干酒（中国白酒）</t>
    </r>
  </si>
  <si>
    <t>金祖窖金祖峰</t>
  </si>
  <si>
    <r>
      <t>伊春森工金山屯林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</si>
  <si>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甜果酒; 白酒;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</si>
  <si>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槜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</si>
  <si>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于志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</si>
  <si>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苦味酒;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</si>
  <si>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英上黄</t>
    </r>
  </si>
  <si>
    <r>
      <t>黄希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</si>
  <si>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</t>
    </r>
  </si>
  <si>
    <r>
      <t>词</t>
    </r>
    <r>
      <rPr>
        <sz val="11"/>
        <color theme="1"/>
        <rFont val="ＭＳ Ｐゴシック"/>
        <family val="3"/>
        <charset val="128"/>
        <scheme val="minor"/>
      </rPr>
      <t>源</t>
    </r>
    <r>
      <rPr>
        <sz val="11"/>
        <color theme="1"/>
        <rFont val="ＭＳ Ｐゴシック"/>
        <family val="3"/>
        <charset val="134"/>
        <scheme val="minor"/>
      </rPr>
      <t>马兰</t>
    </r>
    <r>
      <rPr>
        <sz val="11"/>
        <color theme="1"/>
        <rFont val="ＭＳ Ｐゴシック"/>
        <family val="3"/>
        <charset val="128"/>
        <scheme val="minor"/>
      </rPr>
      <t>花开</t>
    </r>
  </si>
  <si>
    <r>
      <t>湖南</t>
    </r>
    <r>
      <rPr>
        <sz val="11"/>
        <color theme="1"/>
        <rFont val="ＭＳ Ｐゴシック"/>
        <family val="3"/>
        <charset val="134"/>
        <scheme val="minor"/>
      </rPr>
      <t>马兰</t>
    </r>
    <r>
      <rPr>
        <sz val="11"/>
        <color theme="1"/>
        <rFont val="ＭＳ Ｐゴシック"/>
        <family val="3"/>
        <charset val="128"/>
        <scheme val="minor"/>
      </rPr>
      <t>数字科技有限公司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</si>
  <si>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</si>
  <si>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蒸煮提取物（利口酒和烈酒）; 黄酒; 米酒; 白酒; 开胃酒; 清酒</t>
    </r>
  </si>
  <si>
    <t>廉善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</si>
  <si>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州廉能酒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</si>
  <si>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果酒;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</si>
  <si>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r>
      <t>安</t>
    </r>
    <r>
      <rPr>
        <sz val="11"/>
        <color theme="1"/>
        <rFont val="ＭＳ Ｐゴシック"/>
        <family val="3"/>
        <charset val="134"/>
        <scheme val="minor"/>
      </rPr>
      <t>澜门</t>
    </r>
  </si>
  <si>
    <r>
      <t>延安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之坊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</si>
  <si>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果酒; 白酒; 高粱酒; 葡萄酒; 米酒;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</si>
  <si>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继</t>
    </r>
    <r>
      <rPr>
        <sz val="11"/>
        <color theme="1"/>
        <rFont val="ＭＳ Ｐゴシック"/>
        <family val="3"/>
        <charset val="128"/>
        <scheme val="minor"/>
      </rPr>
      <t>虹</t>
    </r>
    <r>
      <rPr>
        <sz val="11"/>
        <color theme="1"/>
        <rFont val="ＭＳ Ｐゴシック"/>
        <family val="3"/>
        <charset val="134"/>
        <scheme val="minor"/>
      </rPr>
      <t>斋谱</t>
    </r>
    <r>
      <rPr>
        <sz val="11"/>
        <color theme="1"/>
        <rFont val="ＭＳ Ｐゴシック"/>
        <family val="3"/>
        <charset val="128"/>
        <scheme val="minor"/>
      </rPr>
      <t>式天下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</si>
  <si>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信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酒店管理有限公司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</si>
  <si>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</si>
  <si>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庄源</t>
    </r>
    <r>
      <rPr>
        <sz val="11"/>
        <color theme="1"/>
        <rFont val="ＭＳ Ｐゴシック"/>
        <family val="3"/>
        <charset val="134"/>
        <scheme val="minor"/>
      </rPr>
      <t>级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</si>
  <si>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州翰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</si>
  <si>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</si>
  <si>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SIMPLE CUPS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</si>
  <si>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纯</t>
    </r>
    <r>
      <rPr>
        <sz val="11"/>
        <color theme="1"/>
        <rFont val="ＭＳ Ｐゴシック"/>
        <family val="3"/>
        <charset val="128"/>
        <scheme val="minor"/>
      </rPr>
      <t>澹餐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</si>
  <si>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</si>
  <si>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怀</t>
    </r>
    <r>
      <rPr>
        <sz val="11"/>
        <color theme="1"/>
        <rFont val="ＭＳ Ｐゴシック"/>
        <family val="3"/>
        <charset val="134"/>
        <scheme val="minor"/>
      </rPr>
      <t>爷</t>
    </r>
    <r>
      <rPr>
        <sz val="11"/>
        <color theme="1"/>
        <rFont val="ＭＳ Ｐゴシック"/>
        <family val="3"/>
        <charset val="128"/>
        <scheme val="minor"/>
      </rPr>
      <t>口粮</t>
    </r>
  </si>
  <si>
    <r>
      <t>蒙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宁</t>
    </r>
  </si>
  <si>
    <r>
      <t>葡萄酒; 梨酒; 烈酒;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米酒;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</si>
  <si>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亖古</t>
    </r>
    <r>
      <rPr>
        <sz val="11"/>
        <color theme="1"/>
        <rFont val="ＭＳ Ｐゴシック"/>
        <family val="3"/>
        <charset val="134"/>
        <scheme val="minor"/>
      </rPr>
      <t>珑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</si>
  <si>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松松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</si>
  <si>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青稞酒;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</si>
  <si>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忠烈侯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</si>
  <si>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东标</t>
    </r>
    <r>
      <rPr>
        <sz val="11"/>
        <color theme="1"/>
        <rFont val="ＭＳ Ｐゴシック"/>
        <family val="3"/>
        <charset val="128"/>
        <scheme val="minor"/>
      </rPr>
      <t>榜文化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</si>
  <si>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</si>
  <si>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金典</t>
    </r>
    <r>
      <rPr>
        <sz val="11"/>
        <color theme="1"/>
        <rFont val="ＭＳ Ｐゴシック"/>
        <family val="3"/>
        <charset val="134"/>
        <scheme val="minor"/>
      </rPr>
      <t>陆</t>
    </r>
  </si>
  <si>
    <r>
      <t xml:space="preserve">高粱酒;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苦味酒; 白酒; 开胃酒; 蒸煮提取物（利口酒和烈酒）</t>
    </r>
  </si>
  <si>
    <t>金典商</t>
  </si>
  <si>
    <r>
      <t>米酒; 高粱酒; 开胃酒;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蒸煮提取物（利口酒和烈酒）; 白酒;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</si>
  <si>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金典拾伍</t>
  </si>
  <si>
    <r>
      <t xml:space="preserve">苦味酒;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蒸煮提取物（利口酒和烈酒）; 高粱酒; 开胃酒;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</t>
    </r>
  </si>
  <si>
    <t>金典拾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</si>
  <si>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苦味酒;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蒸煮提取物（利口酒和烈酒）; 白酒; 开胃酒; 高粱酒</t>
    </r>
  </si>
  <si>
    <r>
      <t>金典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</si>
  <si>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米酒;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高粱酒; 蒸煮提取物（利口酒和烈酒）</t>
    </r>
  </si>
  <si>
    <t>金北</t>
  </si>
  <si>
    <t>保定京州白酒制造有限公司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</si>
  <si>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高粱酒; 葡萄酒</t>
    </r>
  </si>
  <si>
    <t>神立方</t>
  </si>
  <si>
    <r>
      <t>宿州市埇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区</t>
    </r>
    <r>
      <rPr>
        <sz val="11"/>
        <color theme="1"/>
        <rFont val="ＭＳ Ｐゴシック"/>
        <family val="3"/>
        <charset val="134"/>
        <scheme val="minor"/>
      </rPr>
      <t>导</t>
    </r>
    <r>
      <rPr>
        <sz val="11"/>
        <color theme="1"/>
        <rFont val="ＭＳ Ｐゴシック"/>
        <family val="3"/>
        <charset val="128"/>
        <scheme val="minor"/>
      </rPr>
      <t>火索</t>
    </r>
    <r>
      <rPr>
        <sz val="11"/>
        <color theme="1"/>
        <rFont val="ＭＳ Ｐゴシック"/>
        <family val="3"/>
        <charset val="134"/>
        <scheme val="minor"/>
      </rPr>
      <t>计</t>
    </r>
    <r>
      <rPr>
        <sz val="11"/>
        <color theme="1"/>
        <rFont val="ＭＳ Ｐゴシック"/>
        <family val="3"/>
        <charset val="128"/>
        <scheme val="minor"/>
      </rPr>
      <t>算机技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</si>
  <si>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 xml:space="preserve">威士忌; 果酒（含酒精）; 伏特加酒; 白酒; 葡萄酒; 清酒（日本米酒）;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</si>
  <si>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家麦多</t>
  </si>
  <si>
    <t>王勇</t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</si>
  <si>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</si>
  <si>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绝</t>
    </r>
    <r>
      <rPr>
        <sz val="11"/>
        <color theme="1"/>
        <rFont val="ＭＳ Ｐゴシック"/>
        <family val="3"/>
        <charset val="128"/>
        <scheme val="minor"/>
      </rPr>
      <t>棒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</si>
  <si>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梦怡食品有限公司</t>
    </r>
  </si>
  <si>
    <r>
      <t>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</si>
  <si>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晋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君</t>
    </r>
  </si>
  <si>
    <t>任全根</t>
  </si>
  <si>
    <r>
      <t>米酒;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白酒</t>
    </r>
  </si>
  <si>
    <r>
      <t>洺</t>
    </r>
    <r>
      <rPr>
        <sz val="11"/>
        <color theme="1"/>
        <rFont val="ＭＳ Ｐゴシック"/>
        <family val="3"/>
        <charset val="128"/>
        <scheme val="minor"/>
      </rPr>
      <t>河口</t>
    </r>
  </si>
  <si>
    <r>
      <t>河南</t>
    </r>
    <r>
      <rPr>
        <sz val="11"/>
        <color theme="1"/>
        <rFont val="ＭＳ Ｐゴシック"/>
        <family val="3"/>
        <charset val="129"/>
        <scheme val="minor"/>
      </rPr>
      <t>洺</t>
    </r>
    <r>
      <rPr>
        <sz val="11"/>
        <color theme="1"/>
        <rFont val="ＭＳ Ｐゴシック"/>
        <family val="3"/>
        <charset val="128"/>
        <scheme val="minor"/>
      </rPr>
      <t>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</si>
  <si>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高粱酒; 烈酒; 食用酒精; 果酒;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</si>
  <si>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洺</t>
    </r>
    <r>
      <rPr>
        <sz val="11"/>
        <color theme="1"/>
        <rFont val="ＭＳ Ｐゴシック"/>
        <family val="3"/>
        <charset val="128"/>
        <scheme val="minor"/>
      </rPr>
      <t>河大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</si>
  <si>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食用酒精; 葡萄酒; 黄酒; 高粱酒</t>
    </r>
  </si>
  <si>
    <r>
      <t>洺</t>
    </r>
    <r>
      <rPr>
        <sz val="11"/>
        <color theme="1"/>
        <rFont val="ＭＳ Ｐゴシック"/>
        <family val="3"/>
        <charset val="128"/>
        <scheme val="minor"/>
      </rPr>
      <t>河池</t>
    </r>
  </si>
  <si>
    <r>
      <t xml:space="preserve">白酒; 食用酒精; 葡萄酒; 米酒; 烈酒;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</si>
  <si>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t>花开夜</t>
  </si>
  <si>
    <r>
      <t>贾晓</t>
    </r>
    <r>
      <rPr>
        <sz val="11"/>
        <color theme="1"/>
        <rFont val="ＭＳ Ｐゴシック"/>
        <family val="3"/>
        <charset val="128"/>
        <scheme val="minor"/>
      </rPr>
      <t>璇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</si>
  <si>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甜酒; 白酒; 黄酒; 米酒; 烈酒; 葡萄酒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</si>
  <si>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邓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</si>
  <si>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州市四好酒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</si>
  <si>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黄酒; 露酒; 白酒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</si>
  <si>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</si>
  <si>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北京掌上非</t>
    </r>
    <r>
      <rPr>
        <sz val="11"/>
        <color theme="1"/>
        <rFont val="ＭＳ Ｐゴシック"/>
        <family val="3"/>
        <charset val="134"/>
        <scheme val="minor"/>
      </rPr>
      <t>遗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</si>
  <si>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米酒; 果酒（含酒精）; 蜂蜜酒; 梨酒;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</si>
  <si>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内</t>
    </r>
  </si>
  <si>
    <r>
      <t>田</t>
    </r>
    <r>
      <rPr>
        <sz val="11"/>
        <color theme="1"/>
        <rFont val="ＭＳ Ｐゴシック"/>
        <family val="3"/>
        <charset val="134"/>
        <scheme val="minor"/>
      </rPr>
      <t>继</t>
    </r>
    <r>
      <rPr>
        <sz val="11"/>
        <color theme="1"/>
        <rFont val="ＭＳ Ｐゴシック"/>
        <family val="3"/>
        <charset val="128"/>
        <scheme val="minor"/>
      </rPr>
      <t>成</t>
    </r>
  </si>
  <si>
    <r>
      <t>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葡萄酒; 食用酒精;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</si>
  <si>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竹山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句</t>
    </r>
  </si>
  <si>
    <r>
      <t>秦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普</t>
    </r>
  </si>
  <si>
    <r>
      <t xml:space="preserve">蒸煮提取物（利口酒和烈酒）; 烈酒; 清酒（日本米酒）; 葡萄酒; 米酒; 开胃酒;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</t>
    </r>
  </si>
  <si>
    <t>大盛同筵</t>
  </si>
  <si>
    <t>高喜柱</t>
  </si>
  <si>
    <r>
      <t>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威士忌; 葡萄酒;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</si>
  <si>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宵千年</t>
  </si>
  <si>
    <r>
      <t>商丘福星教育咨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</si>
  <si>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汽酒; 黄酒; 蒸煮提取物（利口酒和烈酒）</t>
    </r>
  </si>
  <si>
    <r>
      <t>洺</t>
    </r>
    <r>
      <rPr>
        <sz val="11"/>
        <color theme="1"/>
        <rFont val="ＭＳ Ｐゴシック"/>
        <family val="3"/>
        <charset val="128"/>
        <scheme val="minor"/>
      </rPr>
      <t>河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夫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</si>
  <si>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果酒; 高粱酒; 白酒; 烈酒; 米酒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</si>
  <si>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沈</t>
    </r>
  </si>
  <si>
    <r>
      <t>徐以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</si>
  <si>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葡萄酒;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</si>
  <si>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金信氿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</si>
  <si>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之礼酒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</si>
  <si>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露酒; 白酒;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</si>
  <si>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首皇京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</si>
  <si>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酒和友（北京）酒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</si>
  <si>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开胃酒;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</si>
  <si>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美奥汀</t>
  </si>
  <si>
    <r>
      <t>陈</t>
    </r>
    <r>
      <rPr>
        <sz val="11"/>
        <color theme="1"/>
        <rFont val="ＭＳ Ｐゴシック"/>
        <family val="3"/>
        <charset val="128"/>
        <scheme val="minor"/>
      </rPr>
      <t>旭亮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</si>
  <si>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</si>
  <si>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胡昇公</t>
  </si>
  <si>
    <r>
      <t>河南康台酒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</si>
  <si>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甜酒; 果酒（含酒精）; 黄酒; 开胃酒;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</si>
  <si>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笙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果</t>
    </r>
  </si>
  <si>
    <r>
      <t>祖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君</t>
    </r>
  </si>
  <si>
    <r>
      <t>开胃酒; 葡萄酒; 威士忌;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蜂蜜酒;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</si>
  <si>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虹猫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兔 HOWIE&amp;LANDAU</t>
    </r>
  </si>
  <si>
    <r>
      <t>广州虹猫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兔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漫科技有限公司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</si>
  <si>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开胃酒; 米酒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</si>
  <si>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士将</t>
    </r>
  </si>
  <si>
    <t>德佰斯特（吉林）生物科技有限公司</t>
  </si>
  <si>
    <r>
      <t>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蜂蜜酒; 苦味酒; 葡萄酒</t>
    </r>
  </si>
  <si>
    <r>
      <t>酒</t>
    </r>
    <r>
      <rPr>
        <sz val="11"/>
        <color theme="1"/>
        <rFont val="ＭＳ Ｐゴシック"/>
        <family val="3"/>
        <charset val="134"/>
        <scheme val="minor"/>
      </rPr>
      <t>时闲</t>
    </r>
  </si>
  <si>
    <t>汪佳俊</t>
  </si>
  <si>
    <r>
      <t xml:space="preserve">葡萄酒; 白干酒（中国白酒）;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汽酒; 佐餐酒;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</t>
    </r>
  </si>
  <si>
    <r>
      <t>梯田上花小</t>
    </r>
    <r>
      <rPr>
        <sz val="11"/>
        <color theme="1"/>
        <rFont val="ＭＳ Ｐゴシック"/>
        <family val="3"/>
        <charset val="134"/>
        <scheme val="minor"/>
      </rPr>
      <t>烧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</si>
  <si>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美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</si>
  <si>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黄酒; 露酒</t>
    </r>
  </si>
  <si>
    <t>早服</t>
  </si>
  <si>
    <t>河北五方太极教育科技有限公司</t>
  </si>
  <si>
    <r>
      <t xml:space="preserve">果酒（含酒精）;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</si>
  <si>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浩冠</t>
  </si>
  <si>
    <r>
      <t>郑</t>
    </r>
    <r>
      <rPr>
        <sz val="11"/>
        <color theme="1"/>
        <rFont val="ＭＳ Ｐゴシック"/>
        <family val="3"/>
        <charset val="128"/>
        <scheme val="minor"/>
      </rPr>
      <t>勇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</si>
  <si>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葡萄酒; 青稞酒; 米酒; 白酒; 高粱酒;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</si>
  <si>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玉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皇</t>
    </r>
  </si>
  <si>
    <r>
      <t>惠</t>
    </r>
    <r>
      <rPr>
        <sz val="11"/>
        <color theme="1"/>
        <rFont val="ＭＳ Ｐゴシック"/>
        <family val="3"/>
        <charset val="134"/>
        <scheme val="minor"/>
      </rPr>
      <t>东县</t>
    </r>
    <r>
      <rPr>
        <sz val="11"/>
        <color theme="1"/>
        <rFont val="ＭＳ Ｐゴシック"/>
        <family val="3"/>
        <charset val="128"/>
        <scheme val="minor"/>
      </rPr>
      <t>平山美众</t>
    </r>
    <r>
      <rPr>
        <sz val="11"/>
        <color theme="1"/>
        <rFont val="ＭＳ Ｐゴシック"/>
        <family val="3"/>
        <charset val="134"/>
        <scheme val="minor"/>
      </rPr>
      <t>鱼贸</t>
    </r>
    <r>
      <rPr>
        <sz val="11"/>
        <color theme="1"/>
        <rFont val="ＭＳ Ｐゴシック"/>
        <family val="3"/>
        <charset val="128"/>
        <scheme val="minor"/>
      </rPr>
      <t>易商行</t>
    </r>
  </si>
  <si>
    <r>
      <t>混合威士忌酒; 青梅酒;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清酒;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</si>
  <si>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秦岭在水一方</t>
  </si>
  <si>
    <r>
      <t>陈</t>
    </r>
    <r>
      <rPr>
        <sz val="11"/>
        <color theme="1"/>
        <rFont val="ＭＳ Ｐゴシック"/>
        <family val="3"/>
        <charset val="128"/>
        <scheme val="minor"/>
      </rPr>
      <t>元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</si>
  <si>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黄酒; 米酒; 青稞酒;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</si>
  <si>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钓</t>
    </r>
    <r>
      <rPr>
        <sz val="11"/>
        <color theme="1"/>
        <rFont val="ＭＳ Ｐゴシック"/>
        <family val="3"/>
        <charset val="128"/>
        <scheme val="minor"/>
      </rPr>
      <t>金</t>
    </r>
  </si>
  <si>
    <r>
      <t>中广文化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</si>
  <si>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</t>
    </r>
  </si>
  <si>
    <t>依盼</t>
  </si>
  <si>
    <r>
      <t xml:space="preserve">开胃酒; 黄酒; 蜂蜜酒; 威士忌; 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</si>
  <si>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和相逢</t>
  </si>
  <si>
    <t>何玉高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</si>
  <si>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</si>
  <si>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涿宴</t>
  </si>
  <si>
    <t>京作壹号酒庄股份有限公司</t>
  </si>
  <si>
    <r>
      <t>白酒; 葡萄酒; 黄酒; 开胃酒;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</si>
  <si>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春之雅</t>
  </si>
  <si>
    <r>
      <t>米酒; 黄酒;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露酒;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梅酒</t>
    </r>
  </si>
  <si>
    <t>九霄醉月</t>
  </si>
  <si>
    <r>
      <t>亳州十里</t>
    </r>
    <r>
      <rPr>
        <sz val="11"/>
        <color theme="1"/>
        <rFont val="ＭＳ Ｐゴシック"/>
        <family val="3"/>
        <charset val="134"/>
        <scheme val="minor"/>
      </rPr>
      <t>飘</t>
    </r>
    <r>
      <rPr>
        <sz val="11"/>
        <color theme="1"/>
        <rFont val="ＭＳ Ｐゴシック"/>
        <family val="3"/>
        <charset val="128"/>
        <scheme val="minor"/>
      </rPr>
      <t>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</si>
  <si>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葡萄酒; 食用酒精; 清酒（日本米酒）;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</si>
  <si>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宵仙</t>
    </r>
  </si>
  <si>
    <r>
      <t>奈曼旗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宏种养殖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</si>
  <si>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含酒精蛋奶酒; 白酒; 高粱酒;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</si>
  <si>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升丰</t>
    </r>
    <r>
      <rPr>
        <sz val="11"/>
        <color theme="1"/>
        <rFont val="ＭＳ Ｐゴシック"/>
        <family val="3"/>
        <charset val="134"/>
        <scheme val="minor"/>
      </rPr>
      <t>腾</t>
    </r>
  </si>
  <si>
    <r>
      <t>五</t>
    </r>
    <r>
      <rPr>
        <sz val="11"/>
        <color theme="1"/>
        <rFont val="ＭＳ Ｐゴシック"/>
        <family val="3"/>
        <charset val="134"/>
        <scheme val="minor"/>
      </rPr>
      <t>华县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腾农业发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</si>
  <si>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果酒（含酒精）; 青梅酒;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黄酒; 食用酒精; 甜酒; 米酒</t>
    </r>
  </si>
  <si>
    <r>
      <t>鸭</t>
    </r>
    <r>
      <rPr>
        <sz val="11"/>
        <color theme="1"/>
        <rFont val="ＭＳ Ｐゴシック"/>
        <family val="3"/>
        <charset val="128"/>
        <scheme val="minor"/>
      </rPr>
      <t>春窖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</si>
  <si>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州天越生物制品有限公司</t>
    </r>
  </si>
  <si>
    <r>
      <t xml:space="preserve">葡萄酒;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黄酒; 烈酒; 青稞酒; 苹果酒; 米酒</t>
    </r>
  </si>
  <si>
    <r>
      <t>滨</t>
    </r>
    <r>
      <rPr>
        <sz val="11"/>
        <color theme="1"/>
        <rFont val="ＭＳ Ｐゴシック"/>
        <family val="3"/>
        <charset val="128"/>
        <scheme val="minor"/>
      </rPr>
      <t>中百</t>
    </r>
    <r>
      <rPr>
        <sz val="11"/>
        <color theme="1"/>
        <rFont val="ＭＳ Ｐゴシック"/>
        <family val="3"/>
        <charset val="134"/>
        <scheme val="minor"/>
      </rPr>
      <t>顺</t>
    </r>
  </si>
  <si>
    <t>任永海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</si>
  <si>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白葡萄酒; 青梅酒; 果酒（含酒精）; 米酒; 黄酒; 白酒; 烈酒</t>
    </r>
  </si>
  <si>
    <r>
      <t>觅见</t>
    </r>
    <r>
      <rPr>
        <sz val="11"/>
        <color theme="1"/>
        <rFont val="ＭＳ Ｐゴシック"/>
        <family val="3"/>
        <charset val="128"/>
        <scheme val="minor"/>
      </rPr>
      <t>金叶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</si>
  <si>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州双道商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</si>
  <si>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</si>
  <si>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丘上万</t>
    </r>
    <r>
      <rPr>
        <sz val="11"/>
        <color theme="1"/>
        <rFont val="ＭＳ Ｐゴシック"/>
        <family val="3"/>
        <charset val="134"/>
        <scheme val="minor"/>
      </rPr>
      <t>亩</t>
    </r>
  </si>
  <si>
    <r>
      <t>嵊州市丘上万</t>
    </r>
    <r>
      <rPr>
        <sz val="11"/>
        <color theme="1"/>
        <rFont val="ＭＳ Ｐゴシック"/>
        <family val="3"/>
        <charset val="134"/>
        <scheme val="minor"/>
      </rPr>
      <t>亩农业发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</si>
  <si>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黄酒; 葡萄酒;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</si>
  <si>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九粒一滴</t>
  </si>
  <si>
    <r>
      <t>陈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</si>
  <si>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威士忌; 果酒;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</si>
  <si>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JIAN QUE TANG</t>
  </si>
  <si>
    <r>
      <t>安徽荐</t>
    </r>
    <r>
      <rPr>
        <sz val="11"/>
        <color theme="1"/>
        <rFont val="ＭＳ Ｐゴシック"/>
        <family val="3"/>
        <charset val="134"/>
        <scheme val="minor"/>
      </rPr>
      <t>悫</t>
    </r>
    <r>
      <rPr>
        <sz val="11"/>
        <color theme="1"/>
        <rFont val="ＭＳ Ｐゴシック"/>
        <family val="3"/>
        <charset val="128"/>
        <scheme val="minor"/>
      </rPr>
      <t>堂文化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</si>
  <si>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</si>
  <si>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素</t>
    </r>
    <r>
      <rPr>
        <sz val="11"/>
        <color theme="1"/>
        <rFont val="ＭＳ Ｐゴシック"/>
        <family val="3"/>
        <charset val="134"/>
        <scheme val="minor"/>
      </rPr>
      <t>尘</t>
    </r>
  </si>
  <si>
    <t>代政江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</si>
  <si>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</t>
    </r>
  </si>
  <si>
    <t>匠人繁花</t>
  </si>
  <si>
    <r>
      <t>张</t>
    </r>
    <r>
      <rPr>
        <sz val="11"/>
        <color theme="1"/>
        <rFont val="ＭＳ Ｐゴシック"/>
        <family val="3"/>
        <charset val="128"/>
        <scheme val="minor"/>
      </rPr>
      <t>念文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</si>
  <si>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餐后酒（利口酒和烈酒）</t>
    </r>
  </si>
  <si>
    <r>
      <t>发</t>
    </r>
    <r>
      <rPr>
        <sz val="11"/>
        <color theme="1"/>
        <rFont val="ＭＳ Ｐゴシック"/>
        <family val="3"/>
        <charset val="128"/>
        <scheme val="minor"/>
      </rPr>
      <t>蔡</t>
    </r>
  </si>
  <si>
    <r>
      <t>国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名酒（北京）集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</si>
  <si>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白干酒（中国白酒）; 五加皮酒（中国混合烈酒）;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餐后酒（利口酒和烈酒）;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</si>
  <si>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r>
      <t>深圳几度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</si>
  <si>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</si>
  <si>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黔</t>
    </r>
  </si>
  <si>
    <r>
      <t>白酒; 果酒（含酒精）;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餐后酒（利口酒和烈酒）;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</si>
  <si>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选贵</t>
    </r>
    <r>
      <rPr>
        <sz val="11"/>
        <color theme="1"/>
        <rFont val="ＭＳ Ｐゴシック"/>
        <family val="3"/>
        <charset val="128"/>
        <scheme val="minor"/>
      </rPr>
      <t>礼</t>
    </r>
  </si>
  <si>
    <r>
      <t>苹果酒;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露酒; 果酒（含酒精）; 餐后酒（利口酒和烈酒）</t>
    </r>
  </si>
  <si>
    <t>布衣将相</t>
  </si>
  <si>
    <r>
      <t>海南</t>
    </r>
    <r>
      <rPr>
        <sz val="11"/>
        <color theme="1"/>
        <rFont val="ＭＳ Ｐゴシック"/>
        <family val="3"/>
        <charset val="134"/>
        <scheme val="minor"/>
      </rPr>
      <t>艺颜</t>
    </r>
    <r>
      <rPr>
        <sz val="11"/>
        <color theme="1"/>
        <rFont val="ＭＳ Ｐゴシック"/>
        <family val="3"/>
        <charset val="128"/>
        <scheme val="minor"/>
      </rPr>
      <t>堂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</si>
  <si>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清酒; 白酒;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</si>
  <si>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柱酒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</si>
  <si>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</si>
  <si>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白酒</t>
  </si>
  <si>
    <r>
      <t>古基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</si>
  <si>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亳州市古基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</si>
  <si>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白酒; 开胃酒; 食用酒精; 果酒（含酒精）; 蒸煮提取物（利口酒和烈酒）</t>
    </r>
  </si>
  <si>
    <r>
      <t>醉藏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</si>
  <si>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冠威体育服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</si>
  <si>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黄酒; 米酒;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烈酒; 白酒</t>
    </r>
  </si>
  <si>
    <r>
      <t>巽二淇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</si>
  <si>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巽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二淇（成都）科技有限公司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</si>
  <si>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</si>
  <si>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珍竹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曲</t>
    </r>
  </si>
  <si>
    <r>
      <t>宾</t>
    </r>
    <r>
      <rPr>
        <sz val="11"/>
        <color theme="1"/>
        <rFont val="ＭＳ Ｐゴシック"/>
        <family val="3"/>
        <charset val="128"/>
        <scheme val="minor"/>
      </rPr>
      <t>川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琪航酒</t>
    </r>
    <r>
      <rPr>
        <sz val="11"/>
        <color theme="1"/>
        <rFont val="ＭＳ Ｐゴシック"/>
        <family val="3"/>
        <charset val="134"/>
        <scheme val="minor"/>
      </rPr>
      <t>业经营</t>
    </r>
    <r>
      <rPr>
        <sz val="11"/>
        <color theme="1"/>
        <rFont val="ＭＳ Ｐゴシック"/>
        <family val="3"/>
        <charset val="128"/>
        <scheme val="minor"/>
      </rPr>
      <t>店(个体工商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</si>
  <si>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 xml:space="preserve">果酒; 葡萄酒; 杜松子酒;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清酒; 白干酒（中国白酒）; 烈酒</t>
    </r>
  </si>
  <si>
    <t>首道口</t>
  </si>
  <si>
    <r>
      <t>宏</t>
    </r>
    <r>
      <rPr>
        <sz val="11"/>
        <color theme="1"/>
        <rFont val="ＭＳ Ｐゴシック"/>
        <family val="3"/>
        <charset val="134"/>
        <scheme val="minor"/>
      </rPr>
      <t>迈</t>
    </r>
    <r>
      <rPr>
        <sz val="11"/>
        <color theme="1"/>
        <rFont val="ＭＳ Ｐゴシック"/>
        <family val="3"/>
        <charset val="128"/>
        <scheme val="minor"/>
      </rPr>
      <t>有道商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管理泰州有限公司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</si>
  <si>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食用酒精; 黄酒; 米酒; 白酒;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</si>
  <si>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深接</t>
  </si>
  <si>
    <r>
      <t>蜀国春酒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</si>
  <si>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汽酒; 葡萄酒;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</si>
  <si>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r>
      <t>天地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</si>
  <si>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南京氿笙活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</si>
  <si>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葡萄酒; 朗姆酒; 果酒（含酒精）; 葡萄汽酒; 伏特加酒;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</t>
    </r>
  </si>
  <si>
    <t>柏叶寿</t>
  </si>
  <si>
    <r>
      <t>代深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</si>
  <si>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果酒; 葡萄酒;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</si>
  <si>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中葡葡脉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</si>
  <si>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</si>
  <si>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米酒; 白酒; 葡萄酒; 梨酒;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</si>
  <si>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滇拾酒</t>
  </si>
  <si>
    <t>程令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</si>
  <si>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</t>
    </r>
  </si>
  <si>
    <t>听汐</t>
  </si>
  <si>
    <r>
      <t>邓</t>
    </r>
    <r>
      <rPr>
        <sz val="11"/>
        <color theme="1"/>
        <rFont val="ＭＳ Ｐゴシック"/>
        <family val="3"/>
        <charset val="128"/>
        <scheme val="minor"/>
      </rPr>
      <t>名治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</si>
  <si>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清酒（日本米酒）; 黄酒;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</t>
    </r>
  </si>
  <si>
    <t>丹霞云来</t>
  </si>
  <si>
    <r>
      <t>骆丽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</si>
  <si>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白酒; 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五加皮酒（中国混合烈酒）; 米酒; 蒸煮提取物（利口酒和烈酒）</t>
    </r>
  </si>
  <si>
    <r>
      <t>战</t>
    </r>
    <r>
      <rPr>
        <sz val="11"/>
        <color theme="1"/>
        <rFont val="ＭＳ Ｐゴシック"/>
        <family val="3"/>
        <charset val="128"/>
        <scheme val="minor"/>
      </rPr>
      <t>心老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</si>
  <si>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市太上酒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</si>
  <si>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</t>
    </r>
  </si>
  <si>
    <r>
      <t>中心</t>
    </r>
    <r>
      <rPr>
        <sz val="11"/>
        <color theme="1"/>
        <rFont val="ＭＳ Ｐゴシック"/>
        <family val="3"/>
        <charset val="129"/>
        <scheme val="minor"/>
      </rPr>
      <t>龘龘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</si>
  <si>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州中心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</si>
  <si>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食用酒精;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</si>
  <si>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夜不伏</t>
  </si>
  <si>
    <r>
      <t>沈阳</t>
    </r>
    <r>
      <rPr>
        <sz val="11"/>
        <color theme="1"/>
        <rFont val="ＭＳ Ｐゴシック"/>
        <family val="3"/>
        <charset val="134"/>
        <scheme val="minor"/>
      </rPr>
      <t>张记</t>
    </r>
    <r>
      <rPr>
        <sz val="11"/>
        <color theme="1"/>
        <rFont val="ＭＳ Ｐゴシック"/>
        <family val="3"/>
        <charset val="128"/>
        <scheme val="minor"/>
      </rPr>
      <t>易源酒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</si>
  <si>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</si>
  <si>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归桥</t>
  </si>
  <si>
    <r>
      <t>泉州百侍投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</si>
  <si>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梅酒; 伏特加酒; 果酒; 葡萄酒; 黄酒; 米酒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</si>
  <si>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觥玉液</t>
    </r>
  </si>
  <si>
    <t>姚星******************</t>
  </si>
  <si>
    <r>
      <t>蒸煮提取物（利口酒和烈酒）;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伏特加酒; 汽酒; 白酒;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食用酒精; 青稞酒; 米酒</t>
    </r>
  </si>
  <si>
    <r>
      <t>活</t>
    </r>
    <r>
      <rPr>
        <sz val="11"/>
        <color theme="1"/>
        <rFont val="ＭＳ Ｐゴシック"/>
        <family val="3"/>
        <charset val="134"/>
        <scheme val="minor"/>
      </rPr>
      <t>龄</t>
    </r>
    <r>
      <rPr>
        <sz val="11"/>
        <color theme="1"/>
        <rFont val="ＭＳ Ｐゴシック"/>
        <family val="3"/>
        <charset val="128"/>
        <scheme val="minor"/>
      </rPr>
      <t>紫陶坊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</si>
  <si>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陶坊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</si>
  <si>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果酒（含酒精）;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</t>
    </r>
  </si>
  <si>
    <r>
      <t>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涎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</si>
  <si>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泓达信息科技集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</si>
  <si>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黄酒; 白酒;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白干酒（中国白酒）; 清酒; 果酒; 食用酒精</t>
    </r>
  </si>
  <si>
    <t>抱朴草</t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</si>
  <si>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市抱朴草健康科技有限公司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</si>
  <si>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开胃酒; 白酒;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葡萄酒</t>
    </r>
  </si>
  <si>
    <t>方明亮</t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</si>
  <si>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</t>
    </r>
  </si>
  <si>
    <t>鹿爻</t>
  </si>
  <si>
    <r>
      <t>韩晓</t>
    </r>
    <r>
      <rPr>
        <sz val="11"/>
        <color theme="1"/>
        <rFont val="ＭＳ Ｐゴシック"/>
        <family val="3"/>
        <charset val="128"/>
        <scheme val="minor"/>
      </rPr>
      <t>晶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</si>
  <si>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黄酒; 青稞酒;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</si>
  <si>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活力先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</si>
  <si>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>北京盛初投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</si>
  <si>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食用酒精; 威士忌; 开胃酒; 清酒（日本米酒）;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</si>
  <si>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炑</t>
    </r>
    <r>
      <rPr>
        <sz val="11"/>
        <color theme="1"/>
        <rFont val="ＭＳ Ｐゴシック"/>
        <family val="3"/>
        <charset val="128"/>
        <scheme val="minor"/>
      </rPr>
      <t>昰香</t>
    </r>
  </si>
  <si>
    <r>
      <t>董</t>
    </r>
    <r>
      <rPr>
        <sz val="11"/>
        <color theme="1"/>
        <rFont val="ＭＳ Ｐゴシック"/>
        <family val="3"/>
        <charset val="134"/>
        <scheme val="minor"/>
      </rPr>
      <t>谨</t>
    </r>
    <r>
      <rPr>
        <sz val="11"/>
        <color theme="1"/>
        <rFont val="ＭＳ Ｐゴシック"/>
        <family val="3"/>
        <charset val="128"/>
        <scheme val="minor"/>
      </rPr>
      <t>豪</t>
    </r>
  </si>
  <si>
    <r>
      <t xml:space="preserve">餐后酒（利口酒和烈酒）; 果酒; 烈酒; 黄酒; 米酒;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</si>
  <si>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老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9"/>
        <scheme val="minor"/>
      </rPr>
      <t>龘龘</t>
    </r>
  </si>
  <si>
    <r>
      <t>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</si>
  <si>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r>
      <t>泰祖</t>
    </r>
    <r>
      <rPr>
        <sz val="11"/>
        <color theme="1"/>
        <rFont val="ＭＳ Ｐゴシック"/>
        <family val="3"/>
        <charset val="129"/>
        <scheme val="minor"/>
      </rPr>
      <t>龘龘</t>
    </r>
  </si>
  <si>
    <r>
      <t>果酒（含酒精）;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</si>
  <si>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朤</t>
    </r>
    <r>
      <rPr>
        <sz val="11"/>
        <color theme="1"/>
        <rFont val="ＭＳ Ｐゴシック"/>
        <family val="3"/>
        <charset val="128"/>
        <scheme val="minor"/>
      </rPr>
      <t>叕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</si>
  <si>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</si>
  <si>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 xml:space="preserve">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利口酒; 米酒; 食用酒精; 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</si>
  <si>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r>
      <t>欢</t>
    </r>
    <r>
      <rPr>
        <sz val="11"/>
        <color theme="1"/>
        <rFont val="ＭＳ Ｐゴシック"/>
        <family val="3"/>
        <charset val="128"/>
        <scheme val="minor"/>
      </rPr>
      <t>决</t>
    </r>
  </si>
  <si>
    <t>李淑会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</si>
  <si>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黄酒; 威士忌</t>
    </r>
  </si>
  <si>
    <t>欢绵</t>
  </si>
  <si>
    <r>
      <t>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食用酒精; 威士忌; 青稞酒</t>
    </r>
  </si>
  <si>
    <r>
      <t>钓</t>
    </r>
    <r>
      <rPr>
        <sz val="11"/>
        <color theme="1"/>
        <rFont val="ＭＳ Ｐゴシック"/>
        <family val="3"/>
        <charset val="128"/>
        <scheme val="minor"/>
      </rPr>
      <t>王宴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</si>
  <si>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娜</t>
    </r>
  </si>
  <si>
    <r>
      <t>高粱酒; 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</si>
  <si>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黔</t>
    </r>
    <r>
      <rPr>
        <sz val="11"/>
        <color theme="1"/>
        <rFont val="ＭＳ Ｐゴシック"/>
        <family val="3"/>
        <charset val="134"/>
        <scheme val="minor"/>
      </rPr>
      <t>华财</t>
    </r>
  </si>
  <si>
    <r>
      <t>卢华</t>
    </r>
    <r>
      <rPr>
        <sz val="11"/>
        <color theme="1"/>
        <rFont val="ＭＳ Ｐゴシック"/>
        <family val="3"/>
        <charset val="128"/>
        <scheme val="minor"/>
      </rPr>
      <t>周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</si>
  <si>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米酒; 烈酒; 果酒（含酒精）; 食用酒精;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</si>
  <si>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芬享甄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</si>
  <si>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宁夏酒</t>
    </r>
    <r>
      <rPr>
        <sz val="11"/>
        <color theme="1"/>
        <rFont val="ＭＳ Ｐゴシック"/>
        <family val="3"/>
        <charset val="134"/>
        <scheme val="minor"/>
      </rPr>
      <t>农时</t>
    </r>
    <r>
      <rPr>
        <sz val="11"/>
        <color theme="1"/>
        <rFont val="ＭＳ Ｐゴシック"/>
        <family val="3"/>
        <charset val="128"/>
        <scheme val="minor"/>
      </rPr>
      <t>代国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</si>
  <si>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白葡萄酒;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</si>
  <si>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平羌太白渡</t>
  </si>
  <si>
    <r>
      <t>黎友</t>
    </r>
    <r>
      <rPr>
        <sz val="11"/>
        <color theme="1"/>
        <rFont val="ＭＳ Ｐゴシック"/>
        <family val="3"/>
        <charset val="134"/>
        <scheme val="minor"/>
      </rPr>
      <t>晖</t>
    </r>
  </si>
  <si>
    <r>
      <t>清酒（日本米酒）;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</si>
  <si>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超食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</si>
  <si>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安徽津</t>
    </r>
    <r>
      <rPr>
        <sz val="11"/>
        <color theme="1"/>
        <rFont val="ＭＳ Ｐゴシック"/>
        <family val="3"/>
        <charset val="134"/>
        <scheme val="minor"/>
      </rPr>
      <t>满仓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</si>
  <si>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苹果酒</t>
    </r>
  </si>
  <si>
    <t>望企隆</t>
  </si>
  <si>
    <t>王学明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</si>
  <si>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葡萄酒; 开胃酒; 烈酒</t>
    </r>
  </si>
  <si>
    <r>
      <t>金蟾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</si>
  <si>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沙盛世中元建材有限公司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</si>
  <si>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酸酒（低等葡萄酒）;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</si>
  <si>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朗德巴吉</t>
  </si>
  <si>
    <t>王超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</si>
  <si>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伏特加酒; 威士忌;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朗姆酒</t>
    </r>
  </si>
  <si>
    <t>金樽哈达</t>
  </si>
  <si>
    <r>
      <t>内蒙古河套酒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金樽哈达有限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</si>
  <si>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利口酒; 黄酒; 葡萄酒; 伏特加酒;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</si>
  <si>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南阳市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画</t>
    </r>
    <r>
      <rPr>
        <sz val="11"/>
        <color theme="1"/>
        <rFont val="ＭＳ Ｐゴシック"/>
        <family val="3"/>
        <charset val="134"/>
        <scheme val="minor"/>
      </rPr>
      <t>馆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</si>
  <si>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黄酒;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</si>
  <si>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会川玉墟</t>
  </si>
  <si>
    <r>
      <t>马</t>
    </r>
    <r>
      <rPr>
        <sz val="11"/>
        <color theme="1"/>
        <rFont val="ＭＳ Ｐゴシック"/>
        <family val="3"/>
        <charset val="128"/>
        <scheme val="minor"/>
      </rPr>
      <t>学俊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</si>
  <si>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青稞酒; 米酒; 开胃酒</t>
    </r>
  </si>
  <si>
    <r>
      <t>柯</t>
    </r>
    <r>
      <rPr>
        <sz val="11"/>
        <color theme="1"/>
        <rFont val="ＭＳ Ｐゴシック"/>
        <family val="3"/>
        <charset val="134"/>
        <scheme val="minor"/>
      </rPr>
      <t>晓辉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</si>
  <si>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果酒; 清酒;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威士忌</t>
    </r>
  </si>
  <si>
    <t>复新春</t>
  </si>
  <si>
    <r>
      <t>邓绪</t>
    </r>
    <r>
      <rPr>
        <sz val="11"/>
        <color theme="1"/>
        <rFont val="ＭＳ Ｐゴシック"/>
        <family val="3"/>
        <charset val="128"/>
        <scheme val="minor"/>
      </rPr>
      <t>成</t>
    </r>
  </si>
  <si>
    <r>
      <t>果酒（含酒精）;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葡萄酒;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</t>
    </r>
  </si>
  <si>
    <t>榜眼公</t>
  </si>
  <si>
    <r>
      <t>四川丰沛商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</si>
  <si>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食用酒精; 葡萄酒</t>
    </r>
  </si>
  <si>
    <t>叶天士眉寿堂</t>
  </si>
  <si>
    <r>
      <t>国医康科技集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</si>
  <si>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开胃酒;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</si>
  <si>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樽哈达</t>
    </r>
  </si>
  <si>
    <r>
      <t>米酒;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果酒（含酒精）</t>
    </r>
  </si>
  <si>
    <r>
      <t>中荣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</si>
  <si>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深圳市金</t>
    </r>
    <r>
      <rPr>
        <sz val="11"/>
        <color theme="1"/>
        <rFont val="ＭＳ Ｐゴシック"/>
        <family val="3"/>
        <charset val="134"/>
        <scheme val="minor"/>
      </rPr>
      <t>鉴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</si>
  <si>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</t>
    </r>
  </si>
  <si>
    <r>
      <t>鸬鹚</t>
    </r>
    <r>
      <rPr>
        <sz val="11"/>
        <color theme="1"/>
        <rFont val="ＭＳ Ｐゴシック"/>
        <family val="3"/>
        <charset val="128"/>
        <scheme val="minor"/>
      </rPr>
      <t>湾 CORMORANT BAY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</si>
  <si>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志全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</si>
  <si>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</si>
  <si>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三甲及第</t>
  </si>
  <si>
    <r>
      <t>张</t>
    </r>
    <r>
      <rPr>
        <sz val="11"/>
        <color theme="1"/>
        <rFont val="ＭＳ Ｐゴシック"/>
        <family val="3"/>
        <charset val="128"/>
        <scheme val="minor"/>
      </rPr>
      <t>亭亭</t>
    </r>
  </si>
  <si>
    <r>
      <t xml:space="preserve">果酒; 青稞酒; 梨酒; 黄酒; 白酒; 米酒;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苹果酒</t>
    </r>
  </si>
  <si>
    <r>
      <t>会展界（西安）城市文化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</si>
  <si>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黄酒; 果酒（含酒精）; 清酒（日本米酒）</t>
    </r>
  </si>
  <si>
    <r>
      <t>窖</t>
    </r>
    <r>
      <rPr>
        <sz val="11"/>
        <color theme="1"/>
        <rFont val="ＭＳ Ｐゴシック"/>
        <family val="3"/>
        <charset val="134"/>
        <scheme val="minor"/>
      </rPr>
      <t>飘飘</t>
    </r>
  </si>
  <si>
    <t>佛山市南海区珍趣多食品商行</t>
  </si>
  <si>
    <r>
      <t xml:space="preserve">青稞酒; 利口酒; 高粱酒;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甜酒; 葡萄酒; 黄酒; 果酒</t>
    </r>
  </si>
  <si>
    <r>
      <t>贤</t>
    </r>
    <r>
      <rPr>
        <sz val="11"/>
        <color theme="1"/>
        <rFont val="ＭＳ Ｐゴシック"/>
        <family val="3"/>
        <charset val="128"/>
        <scheme val="minor"/>
      </rPr>
      <t>祀</t>
    </r>
  </si>
  <si>
    <t>段元恒</t>
  </si>
  <si>
    <r>
      <t>葡萄酒; 青稞酒; 白酒;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</si>
  <si>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凰品盛世</t>
  </si>
  <si>
    <t>米芝珍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</si>
  <si>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黄酒; 开胃酒;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清酒（日本米酒）; 白酒</t>
    </r>
  </si>
  <si>
    <t>永裕天字号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</si>
  <si>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富酒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</si>
  <si>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</si>
  <si>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垚合</t>
  </si>
  <si>
    <t>王子友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</si>
  <si>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果酒（含酒精）; 白干酒（中国白酒）;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米酒; 白酒; 开胃酒</t>
    </r>
  </si>
  <si>
    <r>
      <t>方寸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</si>
  <si>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河南天朗文化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</si>
  <si>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</si>
  <si>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歌仙八圣</t>
    </r>
    <r>
      <rPr>
        <sz val="11"/>
        <color theme="1"/>
        <rFont val="ＭＳ Ｐゴシック"/>
        <family val="3"/>
        <charset val="134"/>
        <scheme val="minor"/>
      </rPr>
      <t>诗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</si>
  <si>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州自然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</si>
  <si>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</si>
  <si>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梅三</t>
    </r>
    <r>
      <rPr>
        <sz val="11"/>
        <color theme="1"/>
        <rFont val="ＭＳ Ｐゴシック"/>
        <family val="3"/>
        <charset val="134"/>
        <scheme val="minor"/>
      </rPr>
      <t>岁</t>
    </r>
  </si>
  <si>
    <r>
      <t>峨眉山市峨眉仙酒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</si>
  <si>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清酒; 水果汽酒; 果酒（含酒精）; 梅酒; 青梅酒; 白酒; 烈酒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</si>
  <si>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小念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</si>
  <si>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果酒（含酒精）;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</si>
  <si>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四川旭瑞通商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</si>
  <si>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青稞酒; 米酒; 蜂蜜酒; 甜果酒; 白酒; 食用酒精;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</si>
  <si>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喜粮村</t>
  </si>
  <si>
    <t>蒋建</t>
  </si>
  <si>
    <r>
      <t>白酒; 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清酒; 烈酒; 汽酒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</si>
  <si>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果酒; 甜酒; 梨酒; 青稞酒; 食用酒精; 蜂蜜酒; 米酒; 白酒</t>
    </r>
  </si>
  <si>
    <t>牛不吃</t>
  </si>
  <si>
    <r>
      <t>一脉数据（北京）信息技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</si>
  <si>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</t>
    </r>
  </si>
  <si>
    <r>
      <t>矾</t>
    </r>
    <r>
      <rPr>
        <sz val="11"/>
        <color theme="1"/>
        <rFont val="ＭＳ Ｐゴシック"/>
        <family val="3"/>
        <charset val="128"/>
        <scheme val="minor"/>
      </rPr>
      <t>洞</t>
    </r>
  </si>
  <si>
    <r>
      <t>温州白庄酒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</si>
  <si>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汽酒</t>
    </r>
  </si>
  <si>
    <r>
      <t>北京日昌四季港味餐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</si>
  <si>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</si>
  <si>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大同盛世 酒</t>
  </si>
  <si>
    <r>
      <t>利口酒;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</si>
  <si>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太行楂之恋</t>
  </si>
  <si>
    <t>河南楂之恋食品有限公司</t>
  </si>
  <si>
    <r>
      <t>水果汽酒; 开胃酒;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白酒; 黄酒; 利口酒;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</si>
  <si>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圣人</t>
    </r>
    <r>
      <rPr>
        <sz val="11"/>
        <color theme="1"/>
        <rFont val="ＭＳ Ｐゴシック"/>
        <family val="3"/>
        <charset val="134"/>
        <scheme val="minor"/>
      </rPr>
      <t>倾</t>
    </r>
  </si>
  <si>
    <r>
      <t>李正</t>
    </r>
    <r>
      <rPr>
        <sz val="11"/>
        <color theme="1"/>
        <rFont val="ＭＳ Ｐゴシック"/>
        <family val="3"/>
        <charset val="134"/>
        <scheme val="minor"/>
      </rPr>
      <t>权</t>
    </r>
  </si>
  <si>
    <r>
      <t xml:space="preserve">食用酒精;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果酒（含酒精）;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</si>
  <si>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箪食坊</t>
  </si>
  <si>
    <r>
      <t>湖北三千家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</si>
  <si>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梨酒; 米酒; 白酒; 果酒（含酒精）; 蜂蜜酒;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</si>
  <si>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智付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</si>
  <si>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州智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</si>
  <si>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利口酒;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黄酒; 果酒（含酒精）;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</si>
  <si>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漠魅 MULMAGIA</t>
  </si>
  <si>
    <r>
      <t>中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颐</t>
    </r>
    <r>
      <rPr>
        <sz val="11"/>
        <color theme="1"/>
        <rFont val="ＭＳ Ｐゴシック"/>
        <family val="3"/>
        <charset val="128"/>
        <scheme val="minor"/>
      </rPr>
      <t>恒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</si>
  <si>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</si>
  <si>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正</t>
    </r>
    <r>
      <rPr>
        <sz val="11"/>
        <color theme="1"/>
        <rFont val="ＭＳ Ｐゴシック"/>
        <family val="3"/>
        <charset val="134"/>
        <scheme val="minor"/>
      </rPr>
      <t>驰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南京有限公司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</si>
  <si>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</si>
  <si>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甜酒; 青稞酒; 蜂蜜酒;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甜果酒; 食用酒精;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酒; 高粱酒;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</si>
  <si>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传说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</si>
  <si>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杨爱诚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</si>
  <si>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薄荷酒; 开胃酒; 白酒</t>
    </r>
  </si>
  <si>
    <t>情灵 WWHL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</si>
  <si>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阳市情灵白酒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</si>
  <si>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</si>
  <si>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r>
      <t xml:space="preserve">白酒; 食用酒精; 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青稞酒;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梨酒</t>
    </r>
  </si>
  <si>
    <r>
      <t>馥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高照</t>
    </r>
  </si>
  <si>
    <r>
      <t>安徽金种子酒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</si>
  <si>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</si>
  <si>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惠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联</t>
    </r>
  </si>
  <si>
    <r>
      <t>河南椒香酒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</si>
  <si>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威士忌; 高粱酒; 白酒; 米酒; 黄酒; 伏特加酒;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</si>
  <si>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武林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</si>
  <si>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安徽武林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</si>
  <si>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朗姆酒; 威士忌; 伏特加酒;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烈酒;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</si>
  <si>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ANTA NOBLE 安塔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族</t>
    </r>
  </si>
  <si>
    <r>
      <t>深圳市永瑞泰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</si>
  <si>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威士忌;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汽酒;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柑香酒</t>
    </r>
  </si>
  <si>
    <t>望埠</t>
  </si>
  <si>
    <r>
      <t>中山市中正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器制造有限公司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</si>
  <si>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甜酒; 果酒（含酒精）; 酸酒（低等葡萄酒）;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</si>
  <si>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英沙醇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</si>
  <si>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酸酒（低等葡萄酒）; 葡萄酒; 果酒（含酒精）; 白酒; 甜酒; 黄酒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</si>
  <si>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诗鉴</t>
    </r>
  </si>
  <si>
    <r>
      <t>四川杜甫酒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</si>
  <si>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黄酒; 清酒（日本米酒）; 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威士忌</t>
    </r>
  </si>
  <si>
    <t>九成礼</t>
  </si>
  <si>
    <t>吴子燚</t>
  </si>
  <si>
    <r>
      <t xml:space="preserve">梅酒; 米酒; 白酒; 青稞酒;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果酒; 黄酒</t>
    </r>
  </si>
  <si>
    <t>求士</t>
  </si>
  <si>
    <t>董振</t>
  </si>
  <si>
    <r>
      <t>葡萄酒;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白酒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</si>
  <si>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醴</t>
    </r>
  </si>
  <si>
    <r>
      <t>庄河市蓉花山酒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</si>
  <si>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蜂蜜酒;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</si>
  <si>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续</t>
    </r>
    <r>
      <rPr>
        <sz val="11"/>
        <color theme="1"/>
        <rFont val="ＭＳ Ｐゴシック"/>
        <family val="3"/>
        <charset val="128"/>
        <scheme val="minor"/>
      </rPr>
      <t>知音 酒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</si>
  <si>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函</t>
    </r>
  </si>
  <si>
    <r>
      <t>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威士忌</t>
    </r>
  </si>
  <si>
    <t>北方心意 NORTH BOND</t>
  </si>
  <si>
    <r>
      <t>北方心意（沈阳）商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</si>
  <si>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蜂蜜酒; 苹果酒</t>
    </r>
  </si>
  <si>
    <t>PHANIO</t>
  </si>
  <si>
    <t>南京梵尼洛科技有限公司</t>
  </si>
  <si>
    <r>
      <t xml:space="preserve">果酒（含酒精）; 葡萄酒; 果酒;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苹果酒; 威士忌; 清酒; 米酒</t>
    </r>
  </si>
  <si>
    <t>竹城之恋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</si>
  <si>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州赤醉窖香酒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</si>
  <si>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果酒; 蒸煮提取物（利口酒和烈酒）;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</si>
  <si>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德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真知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</si>
  <si>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州知本寰宇酒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</si>
  <si>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白酒;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果酒（含酒精）</t>
    </r>
  </si>
  <si>
    <r>
      <t>寰宇德</t>
    </r>
    <r>
      <rPr>
        <sz val="11"/>
        <color theme="1"/>
        <rFont val="ＭＳ Ｐゴシック"/>
        <family val="3"/>
        <charset val="134"/>
        <scheme val="minor"/>
      </rPr>
      <t>传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</si>
  <si>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黄酒; 葡萄酒; 米酒; 食用酒精; 白酒; 果酒（含酒精）</t>
    </r>
  </si>
  <si>
    <r>
      <t>莳</t>
    </r>
    <r>
      <rPr>
        <sz val="11"/>
        <color theme="1"/>
        <rFont val="ＭＳ Ｐゴシック"/>
        <family val="3"/>
        <charset val="128"/>
        <scheme val="minor"/>
      </rPr>
      <t>薏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</si>
  <si>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江省久凰商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</si>
  <si>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黄酒; 开胃酒; 白酒; 葡萄酒; 露酒;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茴香酒;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</si>
  <si>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甜酒; 蜂蜜酒; 青稞酒; 米酒; 果酒; 高粱酒;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</si>
  <si>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滇阿妹</t>
  </si>
  <si>
    <t>王浪</t>
  </si>
  <si>
    <t>清酒; 黄酒; 开胃酒; 汽酒; 葡萄酒; 甜酒; 米酒; 食用酒精; 白酒; 果酒</t>
  </si>
  <si>
    <r>
      <t xml:space="preserve">天然汽酒;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露酒; 青稞酒; 食用酒精;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咖啡利口酒;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青梅酒;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清酒;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蜂蜜酒; 米酒; 白干酒（中国白酒）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</si>
  <si>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楼梦</t>
    </r>
  </si>
  <si>
    <r>
      <t>北京百年佳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</si>
  <si>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汽酒; 米酒; 黄酒; 白酒; 蜂蜜酒; 葡萄酒; 清酒;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</si>
  <si>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邕江魂</t>
  </si>
  <si>
    <r>
      <t>山西商晋旅游开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</si>
  <si>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苦味酒;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白酒; 果酒（含酒精）</t>
    </r>
  </si>
  <si>
    <t>帝戚</t>
  </si>
  <si>
    <t>吴金通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</si>
  <si>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</t>
    </r>
  </si>
  <si>
    <r>
      <t>酌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晾</t>
    </r>
  </si>
  <si>
    <r>
      <t>六安夏瑾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</si>
  <si>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白酒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</si>
  <si>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福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礼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</si>
  <si>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州君之品酒文化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</si>
  <si>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清酒（日本米酒）;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</si>
  <si>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墘</t>
    </r>
    <r>
      <rPr>
        <sz val="11"/>
        <color theme="1"/>
        <rFont val="ＭＳ Ｐゴシック"/>
        <family val="3"/>
        <charset val="128"/>
        <scheme val="minor"/>
      </rPr>
      <t>里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</si>
  <si>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恋耘酒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</si>
  <si>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</si>
  <si>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多功</t>
  </si>
  <si>
    <r>
      <t>韦</t>
    </r>
    <r>
      <rPr>
        <sz val="11"/>
        <color theme="1"/>
        <rFont val="ＭＳ Ｐゴシック"/>
        <family val="3"/>
        <charset val="128"/>
        <scheme val="minor"/>
      </rPr>
      <t>明</t>
    </r>
    <r>
      <rPr>
        <sz val="11"/>
        <color theme="1"/>
        <rFont val="ＭＳ Ｐゴシック"/>
        <family val="3"/>
        <charset val="134"/>
        <scheme val="minor"/>
      </rPr>
      <t>础</t>
    </r>
  </si>
  <si>
    <r>
      <t>黄酒; 白酒;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烈酒; 高粱酒; 米酒; 葡萄酒</t>
    </r>
  </si>
  <si>
    <t>航城佬</t>
  </si>
  <si>
    <r>
      <t>陈锦</t>
    </r>
    <r>
      <rPr>
        <sz val="11"/>
        <color theme="1"/>
        <rFont val="ＭＳ Ｐゴシック"/>
        <family val="3"/>
        <charset val="128"/>
        <scheme val="minor"/>
      </rPr>
      <t>祥</t>
    </r>
  </si>
  <si>
    <r>
      <t>威士忌; 白酒; 葡萄酒; 果酒（含酒精）; 黄酒; 蒸煮提取物（利口酒和烈酒）;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</si>
  <si>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百丯</t>
  </si>
  <si>
    <r>
      <t>亳州魏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</si>
  <si>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果酒（含酒精）;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利口酒; 黄酒; 葡萄酒</t>
    </r>
  </si>
  <si>
    <r>
      <t>赋兴</t>
    </r>
    <r>
      <rPr>
        <sz val="11"/>
        <color theme="1"/>
        <rFont val="ＭＳ Ｐゴシック"/>
        <family val="3"/>
        <charset val="128"/>
        <scheme val="minor"/>
      </rPr>
      <t>公爵</t>
    </r>
  </si>
  <si>
    <r>
      <t>广州一山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</si>
  <si>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食用酒精; 葡萄酒;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</t>
    </r>
  </si>
  <si>
    <t>桂匠</t>
  </si>
  <si>
    <t>王慧云</t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</si>
  <si>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利口酒;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</si>
  <si>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t>唐小荔</t>
  </si>
  <si>
    <r>
      <t>漳州宗唐酒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</si>
  <si>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</si>
  <si>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慈迦·菩悦康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</si>
  <si>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嘉航健康管理有限公司</t>
    </r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</si>
  <si>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白酒</t>
    </r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</si>
  <si>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果酒;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食用酒精;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青梅酒; 清酒</t>
    </r>
  </si>
  <si>
    <r>
      <t>妙品清</t>
    </r>
    <r>
      <rPr>
        <sz val="11"/>
        <color theme="1"/>
        <rFont val="ＭＳ Ｐゴシック"/>
        <family val="3"/>
        <charset val="134"/>
        <scheme val="minor"/>
      </rPr>
      <t>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</si>
  <si>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</si>
  <si>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瓜</t>
    </r>
  </si>
  <si>
    <r>
      <t>徐</t>
    </r>
    <r>
      <rPr>
        <sz val="11"/>
        <color theme="1"/>
        <rFont val="ＭＳ Ｐゴシック"/>
        <family val="3"/>
        <charset val="134"/>
        <scheme val="minor"/>
      </rPr>
      <t>勋贵</t>
    </r>
  </si>
  <si>
    <r>
      <t xml:space="preserve">威士忌; 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果酒（含酒精）; 蜂蜜酒;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</si>
  <si>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魂</t>
    </r>
  </si>
  <si>
    <r>
      <t>米酒; 白酒; 高粱酒; 葡萄酒;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黄酒; 烈酒</t>
    </r>
  </si>
  <si>
    <t>西子浮雪</t>
  </si>
  <si>
    <r>
      <t>沈</t>
    </r>
    <r>
      <rPr>
        <sz val="11"/>
        <color theme="1"/>
        <rFont val="ＭＳ Ｐゴシック"/>
        <family val="3"/>
        <charset val="134"/>
        <scheme val="minor"/>
      </rPr>
      <t>晓伟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</si>
  <si>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</si>
  <si>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（WHAT IT ISNT）</t>
  </si>
  <si>
    <r>
      <t>樱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</si>
  <si>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白酒</t>
    </r>
  </si>
  <si>
    <t>佳鼎王</t>
  </si>
  <si>
    <t>刘子旭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</si>
  <si>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</t>
    </r>
  </si>
  <si>
    <t>荣世吉</t>
  </si>
  <si>
    <t>任朝林</t>
  </si>
  <si>
    <r>
      <t>白干酒（中国白酒）;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高粱酒;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</si>
  <si>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㿞酒</t>
  </si>
  <si>
    <t>瞿学芳</t>
  </si>
  <si>
    <r>
      <t>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朗姆酒; 黄酒; 葡萄酒</t>
    </r>
  </si>
  <si>
    <t>上城士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</si>
  <si>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岛华</t>
    </r>
    <r>
      <rPr>
        <sz val="11"/>
        <color theme="1"/>
        <rFont val="ＭＳ Ｐゴシック"/>
        <family val="3"/>
        <charset val="128"/>
        <scheme val="minor"/>
      </rPr>
      <t>信行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</si>
  <si>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汽酒; 薄荷酒;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</t>
    </r>
  </si>
  <si>
    <t>桃菇山</t>
  </si>
  <si>
    <r>
      <t>永嘉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采菊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</si>
  <si>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开胃酒; 白酒;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</si>
  <si>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</si>
  <si>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汉尧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</si>
  <si>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松叶酒;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佐餐酒</t>
    </r>
  </si>
  <si>
    <t>佳窑弥</t>
  </si>
  <si>
    <r>
      <t>张</t>
    </r>
    <r>
      <rPr>
        <sz val="11"/>
        <color theme="1"/>
        <rFont val="ＭＳ Ｐゴシック"/>
        <family val="3"/>
        <charset val="128"/>
        <scheme val="minor"/>
      </rPr>
      <t>果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</si>
  <si>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高粱酒; 白酒</t>
    </r>
  </si>
  <si>
    <r>
      <t xml:space="preserve">利口酒;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开胃酒; 果酒（含酒精）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</si>
  <si>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蕴</t>
    </r>
    <r>
      <rPr>
        <sz val="11"/>
        <color theme="1"/>
        <rFont val="ＭＳ Ｐゴシック"/>
        <family val="3"/>
        <charset val="128"/>
        <scheme val="minor"/>
      </rPr>
      <t>高</t>
    </r>
    <r>
      <rPr>
        <sz val="11"/>
        <color theme="1"/>
        <rFont val="ＭＳ Ｐゴシック"/>
        <family val="3"/>
        <charset val="129"/>
        <scheme val="minor"/>
      </rPr>
      <t>泃</t>
    </r>
  </si>
  <si>
    <r>
      <t>米酒; 白酒; 果酒（含酒精）;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</si>
  <si>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享福清花</t>
  </si>
  <si>
    <r>
      <t>孙</t>
    </r>
    <r>
      <rPr>
        <sz val="11"/>
        <color theme="1"/>
        <rFont val="ＭＳ Ｐゴシック"/>
        <family val="3"/>
        <charset val="128"/>
        <scheme val="minor"/>
      </rPr>
      <t>改明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</si>
  <si>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高粱酒; 食用酒精</t>
    </r>
  </si>
  <si>
    <t>任珈</t>
  </si>
  <si>
    <t>郝海燕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</si>
  <si>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含酒精的气泡水</t>
    </r>
  </si>
  <si>
    <t>匠工无极</t>
  </si>
  <si>
    <r>
      <t>郑</t>
    </r>
    <r>
      <rPr>
        <sz val="11"/>
        <color theme="1"/>
        <rFont val="ＭＳ Ｐゴシック"/>
        <family val="3"/>
        <charset val="128"/>
        <scheme val="minor"/>
      </rPr>
      <t>振才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</si>
  <si>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黄酒</t>
    </r>
  </si>
  <si>
    <r>
      <t>浊</t>
    </r>
    <r>
      <rPr>
        <sz val="11"/>
        <color theme="1"/>
        <rFont val="ＭＳ Ｐゴシック"/>
        <family val="3"/>
        <charset val="128"/>
        <scheme val="minor"/>
      </rPr>
      <t>舍曰聚</t>
    </r>
  </si>
  <si>
    <r>
      <t>南京云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</si>
  <si>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</t>
    </r>
  </si>
  <si>
    <t>梦仙遥</t>
  </si>
  <si>
    <r>
      <t>陈</t>
    </r>
    <r>
      <rPr>
        <sz val="11"/>
        <color theme="1"/>
        <rFont val="ＭＳ Ｐゴシック"/>
        <family val="3"/>
        <charset val="128"/>
        <scheme val="minor"/>
      </rPr>
      <t>小波</t>
    </r>
  </si>
  <si>
    <r>
      <t xml:space="preserve">果酒（含酒精）;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杜松子酒;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黄酒</t>
    </r>
  </si>
  <si>
    <t>桔医堂</t>
  </si>
  <si>
    <t>徐宁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</si>
  <si>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</si>
  <si>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酒陌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食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</si>
  <si>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州尤金科技有限公司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</si>
  <si>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苦味酒;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餐后酒（利口酒和烈酒）; 薄荷酒; 白酒; 米酒</t>
    </r>
  </si>
  <si>
    <t>䣽道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</si>
  <si>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州新新</t>
    </r>
    <r>
      <rPr>
        <sz val="11"/>
        <color theme="1"/>
        <rFont val="ＭＳ Ｐゴシック"/>
        <family val="3"/>
        <charset val="134"/>
        <scheme val="minor"/>
      </rPr>
      <t>宠爱电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</si>
  <si>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白酒; 果酒（含酒精）; 葡萄酒; 黄酒; 汽酒</t>
    </r>
  </si>
  <si>
    <r>
      <t>粱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米清</t>
    </r>
    <r>
      <rPr>
        <sz val="11"/>
        <color theme="1"/>
        <rFont val="ＭＳ Ｐゴシック"/>
        <family val="3"/>
        <charset val="134"/>
        <scheme val="minor"/>
      </rPr>
      <t>芗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</si>
  <si>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莒子酒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</si>
  <si>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汽酒; 黄酒;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伏特加酒; 白酒; 果酒</t>
    </r>
  </si>
  <si>
    <r>
      <t>译</t>
    </r>
    <r>
      <rPr>
        <sz val="11"/>
        <color theme="1"/>
        <rFont val="ＭＳ Ｐゴシック"/>
        <family val="3"/>
        <charset val="128"/>
        <scheme val="minor"/>
      </rPr>
      <t>花香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</si>
  <si>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</si>
  <si>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烈酒; 米酒; 开胃酒; 黄酒; 白酒</t>
    </r>
  </si>
  <si>
    <t>秦皇五虎将</t>
  </si>
  <si>
    <r>
      <t>秦皇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市戎戍商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</si>
  <si>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白酒; 高粱酒; 甜酒; 黄酒; 烈酒;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</si>
  <si>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松叶酒;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佐餐酒;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米酒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</si>
  <si>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嗣好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</si>
  <si>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市朝花夕拾酒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</si>
  <si>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餐后酒（利口酒和烈酒）;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</si>
  <si>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大山里二猫</t>
  </si>
  <si>
    <t>程宇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</si>
  <si>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果酒（含酒精）</t>
    </r>
  </si>
  <si>
    <t>泗洲渡</t>
  </si>
  <si>
    <r>
      <t>南昌德</t>
    </r>
    <r>
      <rPr>
        <sz val="11"/>
        <color theme="1"/>
        <rFont val="ＭＳ Ｐゴシック"/>
        <family val="3"/>
        <charset val="134"/>
        <scheme val="minor"/>
      </rPr>
      <t>铃</t>
    </r>
    <r>
      <rPr>
        <sz val="11"/>
        <color theme="1"/>
        <rFont val="ＭＳ Ｐゴシック"/>
        <family val="3"/>
        <charset val="128"/>
        <scheme val="minor"/>
      </rPr>
      <t>通商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</si>
  <si>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米酒; 白酒; 烈酒; 果酒（含酒精）</t>
    </r>
  </si>
  <si>
    <t>漳小荔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</si>
  <si>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</si>
  <si>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蕴</t>
    </r>
    <r>
      <rPr>
        <sz val="11"/>
        <color theme="1"/>
        <rFont val="ＭＳ Ｐゴシック"/>
        <family val="3"/>
        <charset val="128"/>
        <scheme val="minor"/>
      </rPr>
      <t>特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</si>
  <si>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</si>
  <si>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井小吟</t>
  </si>
  <si>
    <r>
      <t>张</t>
    </r>
    <r>
      <rPr>
        <sz val="11"/>
        <color theme="1"/>
        <rFont val="ＭＳ Ｐゴシック"/>
        <family val="3"/>
        <charset val="128"/>
        <scheme val="minor"/>
      </rPr>
      <t>建新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</si>
  <si>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伏特加酒; 葡萄酒; 威士忌;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清酒（日本米酒）</t>
    </r>
  </si>
  <si>
    <t>半江畔</t>
  </si>
  <si>
    <r>
      <t>宜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子均</t>
    </r>
    <r>
      <rPr>
        <sz val="11"/>
        <color theme="1"/>
        <rFont val="ＭＳ Ｐゴシック"/>
        <family val="3"/>
        <charset val="134"/>
        <scheme val="minor"/>
      </rPr>
      <t>邓</t>
    </r>
    <r>
      <rPr>
        <sz val="11"/>
        <color theme="1"/>
        <rFont val="ＭＳ Ｐゴシック"/>
        <family val="3"/>
        <charset val="128"/>
        <scheme val="minor"/>
      </rPr>
      <t>公液酒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</si>
  <si>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蜂蜜酒; 果酒（含酒精）</t>
    </r>
  </si>
  <si>
    <t>四季你我</t>
  </si>
  <si>
    <r>
      <t>四川玖和泰信息技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</si>
  <si>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利口酒;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葡萄酒</t>
    </r>
  </si>
  <si>
    <r>
      <t>崽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</si>
  <si>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建康</t>
    </r>
  </si>
  <si>
    <r>
      <t xml:space="preserve">清酒（日本米酒）; 黄酒;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</si>
  <si>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泰大道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</si>
  <si>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瑞恩酒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</si>
  <si>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汽酒; 果酒（含酒精）; 白酒;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</si>
  <si>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乡</t>
    </r>
    <r>
      <rPr>
        <sz val="11"/>
        <color theme="1"/>
        <rFont val="ＭＳ Ｐゴシック"/>
        <family val="3"/>
        <charset val="128"/>
        <scheme val="minor"/>
      </rPr>
      <t>村女孩</t>
    </r>
  </si>
  <si>
    <r>
      <t>忻州市忻府区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梦</t>
    </r>
    <r>
      <rPr>
        <sz val="11"/>
        <color theme="1"/>
        <rFont val="ＭＳ Ｐゴシック"/>
        <family val="3"/>
        <charset val="134"/>
        <scheme val="minor"/>
      </rPr>
      <t>时态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事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所（个人独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</si>
  <si>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葡萄酒; 蜂蜜酒;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</si>
  <si>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t>柔可适</t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</si>
  <si>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清酒（日本米酒）; 白酒;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</si>
  <si>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德福清花</t>
  </si>
  <si>
    <r>
      <t>高粱酒;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露酒; 食用酒精;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</si>
  <si>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喜清花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</si>
  <si>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高粱酒;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</si>
  <si>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童指清花</t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</si>
  <si>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</t>
    </r>
  </si>
  <si>
    <t>鼎妥妥</t>
  </si>
  <si>
    <r>
      <t>安徽妥妥大健康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</si>
  <si>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果酒;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水果汽酒;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梅酒; 果酒（含酒精）</t>
    </r>
  </si>
  <si>
    <t>茶花岭</t>
  </si>
  <si>
    <t>徐福平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</si>
  <si>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果酒; 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米酒;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</si>
  <si>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聚福清花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</si>
  <si>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露酒;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</si>
  <si>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t>德也</t>
  </si>
  <si>
    <r>
      <t>白酒; 烈酒; 高粱酒; 清酒;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米酒</t>
    </r>
  </si>
  <si>
    <r>
      <t>贯</t>
    </r>
    <r>
      <rPr>
        <sz val="11"/>
        <color theme="1"/>
        <rFont val="ＭＳ Ｐゴシック"/>
        <family val="3"/>
        <charset val="128"/>
        <scheme val="minor"/>
      </rPr>
      <t>球香</t>
    </r>
  </si>
  <si>
    <r>
      <t>五常市</t>
    </r>
    <r>
      <rPr>
        <sz val="11"/>
        <color theme="1"/>
        <rFont val="ＭＳ Ｐゴシック"/>
        <family val="3"/>
        <charset val="134"/>
        <scheme val="minor"/>
      </rPr>
      <t>贯</t>
    </r>
    <r>
      <rPr>
        <sz val="11"/>
        <color theme="1"/>
        <rFont val="ＭＳ Ｐゴシック"/>
        <family val="3"/>
        <charset val="128"/>
        <scheme val="minor"/>
      </rPr>
      <t>球香米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</si>
  <si>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米酒; 果酒（含酒精）</t>
    </r>
  </si>
  <si>
    <r>
      <t>合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特·遮留谷</t>
    </r>
  </si>
  <si>
    <r>
      <t>和</t>
    </r>
    <r>
      <rPr>
        <sz val="11"/>
        <color theme="1"/>
        <rFont val="ＭＳ Ｐゴシック"/>
        <family val="3"/>
        <charset val="134"/>
        <scheme val="minor"/>
      </rPr>
      <t>硕县</t>
    </r>
    <r>
      <rPr>
        <sz val="11"/>
        <color theme="1"/>
        <rFont val="ＭＳ Ｐゴシック"/>
        <family val="3"/>
        <charset val="128"/>
        <scheme val="minor"/>
      </rPr>
      <t>合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特酒庄有限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</si>
  <si>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利口酒;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</si>
  <si>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中福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杜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</si>
  <si>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黄河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</si>
  <si>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果酒（含酒精）; 白酒;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</si>
  <si>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蕴赋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</si>
  <si>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白酒; 伏特加酒;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</si>
  <si>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挚</t>
    </r>
    <r>
      <rPr>
        <sz val="11"/>
        <color theme="1"/>
        <rFont val="ＭＳ Ｐゴシック"/>
        <family val="3"/>
        <charset val="128"/>
        <scheme val="minor"/>
      </rPr>
      <t>江山</t>
    </r>
  </si>
  <si>
    <t>王明彬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</si>
  <si>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葡萄酒;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清酒; 威士忌; 黄酒</t>
    </r>
  </si>
  <si>
    <r>
      <t>傻</t>
    </r>
    <r>
      <rPr>
        <sz val="11"/>
        <color theme="1"/>
        <rFont val="ＭＳ Ｐゴシック"/>
        <family val="3"/>
        <charset val="134"/>
        <scheme val="minor"/>
      </rPr>
      <t>张记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</si>
  <si>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</si>
  <si>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葡萄酒;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</si>
  <si>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仙方兮</t>
  </si>
  <si>
    <r>
      <t>宋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雪******************</t>
    </r>
  </si>
  <si>
    <r>
      <t>葡萄酒; 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</si>
  <si>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汤</t>
    </r>
    <r>
      <rPr>
        <sz val="11"/>
        <color theme="1"/>
        <rFont val="ＭＳ Ｐゴシック"/>
        <family val="3"/>
        <charset val="128"/>
        <scheme val="minor"/>
      </rPr>
      <t>臣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</si>
  <si>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王旭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</si>
  <si>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梅酒;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白酒; 烈酒; 果酒（含酒精）</t>
    </r>
  </si>
  <si>
    <t>REN XIANG SHI LI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</si>
  <si>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州仁香十里酒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</si>
  <si>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</si>
  <si>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奇</t>
    </r>
    <r>
      <rPr>
        <sz val="11"/>
        <color theme="1"/>
        <rFont val="ＭＳ Ｐゴシック"/>
        <family val="3"/>
        <charset val="134"/>
        <scheme val="minor"/>
      </rPr>
      <t>犟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</si>
  <si>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秦池酒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</si>
  <si>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黄酒</t>
    </r>
  </si>
  <si>
    <r>
      <t>花之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</si>
  <si>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 xml:space="preserve">高粱酒; 果酒（含酒精）; 白酒; 烈酒;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清酒</t>
    </r>
  </si>
  <si>
    <t>三福三元堂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</si>
  <si>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市三福三元堂酒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</si>
  <si>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食用酒精; 白酒; 果酒（含酒精）</t>
    </r>
  </si>
  <si>
    <r>
      <t>乆</t>
    </r>
    <r>
      <rPr>
        <sz val="11"/>
        <color theme="1"/>
        <rFont val="ＭＳ Ｐゴシック"/>
        <family val="3"/>
        <charset val="128"/>
        <scheme val="minor"/>
      </rPr>
      <t>悦</t>
    </r>
    <r>
      <rPr>
        <sz val="11"/>
        <color theme="1"/>
        <rFont val="ＭＳ Ｐゴシック"/>
        <family val="3"/>
        <charset val="129"/>
        <scheme val="minor"/>
      </rPr>
      <t>勼</t>
    </r>
  </si>
  <si>
    <r>
      <t>云阳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秋</t>
    </r>
    <r>
      <rPr>
        <sz val="11"/>
        <color theme="1"/>
        <rFont val="ＭＳ Ｐゴシック"/>
        <family val="3"/>
        <charset val="134"/>
        <scheme val="minor"/>
      </rPr>
      <t>实农业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</si>
  <si>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t>白酒; 果酒; 米酒</t>
  </si>
  <si>
    <r>
      <t>邹</t>
    </r>
    <r>
      <rPr>
        <sz val="11"/>
        <color theme="1"/>
        <rFont val="ＭＳ Ｐゴシック"/>
        <family val="3"/>
        <charset val="128"/>
        <scheme val="minor"/>
      </rPr>
      <t>小好 莓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</si>
  <si>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至澄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</si>
  <si>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甜酒; 水果汽酒;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草莓酒;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</si>
  <si>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麦威</t>
    </r>
    <r>
      <rPr>
        <sz val="11"/>
        <color theme="1"/>
        <rFont val="ＭＳ Ｐゴシック"/>
        <family val="3"/>
        <charset val="134"/>
        <scheme val="minor"/>
      </rPr>
      <t>绅</t>
    </r>
    <r>
      <rPr>
        <sz val="11"/>
        <color theme="1"/>
        <rFont val="ＭＳ Ｐゴシック"/>
        <family val="3"/>
        <charset val="128"/>
        <scheme val="minor"/>
      </rPr>
      <t>士</t>
    </r>
  </si>
  <si>
    <t>麦芽威士忌; 威士忌</t>
  </si>
  <si>
    <r>
      <t>同源民益（山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）生物科技股份有限公司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</si>
  <si>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果酒（含酒精）; 清酒; 黄酒</t>
    </r>
  </si>
  <si>
    <r>
      <t>御米之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</si>
  <si>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长伟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</si>
  <si>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甜果酒;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葡萄酒; 米酒;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</si>
  <si>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象王</t>
    </r>
  </si>
  <si>
    <r>
      <t>石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市国</t>
    </r>
    <r>
      <rPr>
        <sz val="11"/>
        <color theme="1"/>
        <rFont val="ＭＳ Ｐゴシック"/>
        <family val="3"/>
        <charset val="134"/>
        <scheme val="minor"/>
      </rPr>
      <t>丽蕴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</si>
  <si>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黄酒; 威士忌; 果酒;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</t>
    </r>
  </si>
  <si>
    <r>
      <t>伊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特</t>
    </r>
  </si>
  <si>
    <t>文学</t>
  </si>
  <si>
    <r>
      <t xml:space="preserve">葡萄酒;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烈酒; 高粱酒;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</t>
    </r>
  </si>
  <si>
    <r>
      <t>伊酒</t>
    </r>
    <r>
      <rPr>
        <sz val="11"/>
        <color theme="1"/>
        <rFont val="ＭＳ Ｐゴシック"/>
        <family val="3"/>
        <charset val="134"/>
        <scheme val="minor"/>
      </rPr>
      <t>贡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</si>
  <si>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葡萄酒; 青稞酒; 白酒; 高粱酒;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</si>
  <si>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集</t>
    </r>
  </si>
  <si>
    <r>
      <t xml:space="preserve">白酒; 开胃酒; 青稞酒; 果酒; 清酒;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</si>
  <si>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安徽天韵酒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</si>
  <si>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清酒; 葡萄酒; 白酒; 黄酒</t>
    </r>
  </si>
  <si>
    <t>云筠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</si>
  <si>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西云筠文竹旅游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</si>
  <si>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蜂蜜酒;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白葡萄酒;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</si>
  <si>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云滇老寨</t>
  </si>
  <si>
    <r>
      <t>昆明悦友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</si>
  <si>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甘蔗制烈酒;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</si>
  <si>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拾叶知悠</t>
  </si>
  <si>
    <r>
      <t>大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安岭康汁健寒地植物食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</si>
  <si>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</si>
  <si>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t>云花玫酒</t>
  </si>
  <si>
    <r>
      <t>罗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</si>
  <si>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 xml:space="preserve">杜松子酒;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威末酒; 清酒; 露酒;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</si>
  <si>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聆空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</si>
  <si>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深圳聆听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</si>
  <si>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葡萄酒; 果酒（含酒精）</t>
    </r>
  </si>
  <si>
    <t>灵猴城</t>
  </si>
  <si>
    <r>
      <t>吕</t>
    </r>
    <r>
      <rPr>
        <sz val="11"/>
        <color theme="1"/>
        <rFont val="ＭＳ Ｐゴシック"/>
        <family val="3"/>
        <charset val="128"/>
        <scheme val="minor"/>
      </rPr>
      <t>梁市德盛科技有限公司</t>
    </r>
  </si>
  <si>
    <r>
      <t>果酒（含酒精）;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</si>
  <si>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翘</t>
    </r>
    <r>
      <rPr>
        <sz val="11"/>
        <color theme="1"/>
        <rFont val="ＭＳ Ｐゴシック"/>
        <family val="3"/>
        <charset val="128"/>
        <scheme val="minor"/>
      </rPr>
      <t>山城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</si>
  <si>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黄小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</si>
  <si>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伏特加酒;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威士忌; 白酒; 开胃酒; 米酒</t>
    </r>
  </si>
  <si>
    <t>礼熠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</si>
  <si>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清酒（日本米酒）; 白酒; 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</t>
    </r>
  </si>
  <si>
    <t>草盛苗稀</t>
  </si>
  <si>
    <t>夏勇勇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</si>
  <si>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开胃酒;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</si>
  <si>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宥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</si>
  <si>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清火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</si>
  <si>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果酒（含酒精）;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</si>
  <si>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云花媚酒</t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</si>
  <si>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米酒; 露酒; 杜松子酒;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威末酒; 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</si>
  <si>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魅福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</si>
  <si>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露酒; 黄酒; 清酒; 烈酒; 果酒（含酒精）; 葡萄酒; 高粱酒</t>
    </r>
  </si>
  <si>
    <r>
      <t>呈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</si>
  <si>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练</t>
    </r>
    <r>
      <rPr>
        <sz val="11"/>
        <color theme="1"/>
        <rFont val="ＭＳ Ｐゴシック"/>
        <family val="3"/>
        <charset val="128"/>
        <scheme val="minor"/>
      </rPr>
      <t>建明</t>
    </r>
  </si>
  <si>
    <r>
      <t>白干酒（中国白酒）;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果酒; 米酒; 黄酒</t>
    </r>
  </si>
  <si>
    <t>醉横似海 酒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</si>
  <si>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西醉横似海商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</si>
  <si>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果酒; 甜酒; 白葡萄酒;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</si>
  <si>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r>
      <t>钢</t>
    </r>
    <r>
      <rPr>
        <sz val="11"/>
        <color theme="1"/>
        <rFont val="ＭＳ Ｐゴシック"/>
        <family val="3"/>
        <charset val="128"/>
        <scheme val="minor"/>
      </rPr>
      <t>翼</t>
    </r>
    <r>
      <rPr>
        <sz val="11"/>
        <color theme="1"/>
        <rFont val="ＭＳ Ｐゴシック"/>
        <family val="3"/>
        <charset val="134"/>
        <scheme val="minor"/>
      </rPr>
      <t>岛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</si>
  <si>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米酒; 白酒; 露酒;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</t>
    </r>
  </si>
  <si>
    <r>
      <t>岛</t>
    </r>
    <r>
      <rPr>
        <sz val="11"/>
        <color theme="1"/>
        <rFont val="ＭＳ Ｐゴシック"/>
        <family val="3"/>
        <charset val="128"/>
        <scheme val="minor"/>
      </rPr>
      <t>信</t>
    </r>
  </si>
  <si>
    <t>林斌南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</si>
  <si>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含酒精的气泡水;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米酒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</si>
  <si>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</si>
  <si>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火貂</t>
  </si>
  <si>
    <r>
      <t>赵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娥</t>
    </r>
  </si>
  <si>
    <r>
      <t xml:space="preserve">黄酒; 白酒;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</t>
    </r>
  </si>
  <si>
    <t>清藏幸福</t>
  </si>
  <si>
    <r>
      <t>云南滇善滇美酒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</si>
  <si>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清酒（日本米酒）;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</si>
  <si>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清不倒</t>
  </si>
  <si>
    <r>
      <t>谷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洞藏（浙江）酒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</si>
  <si>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汽酒; 苦味酒;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白酒; 果酒（含酒精）;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露酒;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...</t>
    </r>
  </si>
  <si>
    <t>斟裕</t>
  </si>
  <si>
    <r>
      <t xml:space="preserve">果酒（含酒精）; 葡萄酒; 黄酒; 露酒; 烈酒; 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</t>
    </r>
  </si>
  <si>
    <r>
      <t>马头</t>
    </r>
    <r>
      <rPr>
        <sz val="11"/>
        <color theme="1"/>
        <rFont val="ＭＳ Ｐゴシック"/>
        <family val="3"/>
        <charset val="128"/>
        <scheme val="minor"/>
      </rPr>
      <t>旗</t>
    </r>
  </si>
  <si>
    <r>
      <t>漳州</t>
    </r>
    <r>
      <rPr>
        <sz val="11"/>
        <color theme="1"/>
        <rFont val="ＭＳ Ｐゴシック"/>
        <family val="3"/>
        <charset val="134"/>
        <scheme val="minor"/>
      </rPr>
      <t>缟</t>
    </r>
    <r>
      <rPr>
        <sz val="11"/>
        <color theme="1"/>
        <rFont val="ＭＳ Ｐゴシック"/>
        <family val="3"/>
        <charset val="128"/>
        <scheme val="minor"/>
      </rPr>
      <t>狸生物科技有限公司</t>
    </r>
  </si>
  <si>
    <r>
      <t>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清酒; 威士忌;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</si>
  <si>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响之水</t>
  </si>
  <si>
    <r>
      <t>邹栋</t>
    </r>
    <r>
      <rPr>
        <sz val="11"/>
        <color theme="1"/>
        <rFont val="ＭＳ Ｐゴシック"/>
        <family val="3"/>
        <charset val="128"/>
        <scheme val="minor"/>
      </rPr>
      <t>林******************</t>
    </r>
  </si>
  <si>
    <r>
      <t xml:space="preserve">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葡萄酒; 清酒（日本米酒）; 果酒（含酒精）</t>
    </r>
  </si>
  <si>
    <r>
      <t>吴</t>
    </r>
    <r>
      <rPr>
        <sz val="11"/>
        <color theme="1"/>
        <rFont val="ＭＳ Ｐゴシック"/>
        <family val="3"/>
        <charset val="129"/>
        <scheme val="minor"/>
      </rPr>
      <t>值</t>
    </r>
    <r>
      <rPr>
        <sz val="11"/>
        <color theme="1"/>
        <rFont val="ＭＳ Ｐゴシック"/>
        <family val="3"/>
        <charset val="128"/>
        <scheme val="minor"/>
      </rPr>
      <t>夫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</si>
  <si>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执</t>
    </r>
    <r>
      <rPr>
        <sz val="11"/>
        <color theme="1"/>
        <rFont val="ＭＳ Ｐゴシック"/>
        <family val="3"/>
        <charset val="128"/>
        <scheme val="minor"/>
      </rPr>
      <t>守酒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</si>
  <si>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</si>
  <si>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渝接</t>
  </si>
  <si>
    <r>
      <t>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汽酒; 白酒;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</si>
  <si>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全</t>
    </r>
    <r>
      <rPr>
        <sz val="11"/>
        <color theme="1"/>
        <rFont val="ＭＳ Ｐゴシック"/>
        <family val="3"/>
        <charset val="134"/>
        <scheme val="minor"/>
      </rPr>
      <t>兴烧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</si>
  <si>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伏特加酒;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</si>
  <si>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朋台酒庄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</si>
  <si>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州迎客酒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</si>
  <si>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开胃酒; 食用酒精; 果酒（含酒精）; 蒸煮提取物（利口酒和烈酒）</t>
    </r>
  </si>
  <si>
    <t>伐天下</t>
  </si>
  <si>
    <r>
      <t>汤</t>
    </r>
    <r>
      <rPr>
        <sz val="11"/>
        <color theme="1"/>
        <rFont val="ＭＳ Ｐゴシック"/>
        <family val="3"/>
        <charset val="128"/>
        <scheme val="minor"/>
      </rPr>
      <t>全福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</si>
  <si>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烈酒; 露酒; 白酒; 米酒; 黄酒; 高粱酒; 清酒; 葡萄酒</t>
    </r>
  </si>
  <si>
    <t>既·春生</t>
  </si>
  <si>
    <r>
      <t>廊坊利事餐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</si>
  <si>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佐餐酒</t>
    </r>
  </si>
  <si>
    <r>
      <t>乾</t>
    </r>
    <r>
      <rPr>
        <sz val="11"/>
        <color theme="1"/>
        <rFont val="ＭＳ Ｐゴシック"/>
        <family val="3"/>
        <charset val="134"/>
        <scheme val="minor"/>
      </rPr>
      <t>门</t>
    </r>
  </si>
  <si>
    <t>肖朝佑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</si>
  <si>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薄荷酒;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苹果酒; 葡萄酒; 蜂蜜酒</t>
    </r>
  </si>
  <si>
    <r>
      <t>骏</t>
    </r>
    <r>
      <rPr>
        <sz val="11"/>
        <color theme="1"/>
        <rFont val="ＭＳ Ｐゴシック"/>
        <family val="3"/>
        <charset val="128"/>
        <scheme val="minor"/>
      </rPr>
      <t>兔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</si>
  <si>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骏</t>
    </r>
    <r>
      <rPr>
        <sz val="11"/>
        <color theme="1"/>
        <rFont val="ＭＳ Ｐゴシック"/>
        <family val="3"/>
        <charset val="128"/>
        <scheme val="minor"/>
      </rPr>
      <t>途科技有限公司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</si>
  <si>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食用酒精; 甜果酒; 果酒; 白干酒（中国白酒）</t>
    </r>
  </si>
  <si>
    <t>依梦三生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</si>
  <si>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双</t>
    </r>
    <r>
      <rPr>
        <sz val="11"/>
        <color theme="1"/>
        <rFont val="ＭＳ Ｐゴシック"/>
        <family val="3"/>
        <charset val="134"/>
        <scheme val="minor"/>
      </rPr>
      <t>枣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</si>
  <si>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果酒（含酒精）; 烈酒; 白酒</t>
    </r>
  </si>
  <si>
    <r>
      <t>风</t>
    </r>
    <r>
      <rPr>
        <sz val="11"/>
        <color theme="1"/>
        <rFont val="ＭＳ Ｐゴシック"/>
        <family val="3"/>
        <charset val="128"/>
        <scheme val="minor"/>
      </rPr>
      <t>云</t>
    </r>
    <r>
      <rPr>
        <sz val="11"/>
        <color theme="1"/>
        <rFont val="ＭＳ Ｐゴシック"/>
        <family val="3"/>
        <charset val="134"/>
        <scheme val="minor"/>
      </rPr>
      <t>剑</t>
    </r>
  </si>
  <si>
    <r>
      <t>宜昌富裕山生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旅游有限公司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</si>
  <si>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高粱酒; 青稞酒; 米酒; 黄酒; 食用酒精; 葡萄酒</t>
    </r>
  </si>
  <si>
    <t>扎浪</t>
  </si>
  <si>
    <r>
      <t>北京臻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</si>
  <si>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米酒; 黄酒; 果酒（含酒精）;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威士忌; 白酒</t>
    </r>
  </si>
  <si>
    <t>霸王沟</t>
  </si>
  <si>
    <t>李克全</t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</si>
  <si>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白酒;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</si>
  <si>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味呑花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</si>
  <si>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成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</si>
  <si>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 xml:space="preserve">白酒; 威士忌; 伏特加酒;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</si>
  <si>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朋台醇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</si>
  <si>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蒸煮提取物（利口酒和烈酒）; 开胃酒; 白酒; 葡萄酒; 果酒（含酒精）; 蜂蜜酒;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</si>
  <si>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朋台</t>
  </si>
  <si>
    <r>
      <t>葡萄酒; 白酒; 蜂蜜酒;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蒸煮提取物（利口酒和烈酒）; 开胃酒</t>
    </r>
  </si>
  <si>
    <r>
      <t>值</t>
    </r>
    <r>
      <rPr>
        <sz val="11"/>
        <color theme="1"/>
        <rFont val="ＭＳ Ｐゴシック"/>
        <family val="3"/>
        <charset val="128"/>
        <scheme val="minor"/>
      </rPr>
      <t>夫</t>
    </r>
  </si>
  <si>
    <r>
      <t xml:space="preserve">蒸煮提取物（利口酒和烈酒）; 葡萄酒;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</si>
  <si>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r>
      <t>欢</t>
    </r>
    <r>
      <rPr>
        <sz val="11"/>
        <color theme="1"/>
        <rFont val="ＭＳ Ｐゴシック"/>
        <family val="3"/>
        <charset val="128"/>
        <scheme val="minor"/>
      </rPr>
      <t>江</t>
    </r>
  </si>
  <si>
    <t>丁延杰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</si>
  <si>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果酒（含酒精）</t>
    </r>
  </si>
  <si>
    <t>玺势</t>
  </si>
  <si>
    <t>吴友兵</t>
  </si>
  <si>
    <r>
      <t>清酒（日本米酒）;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青稞酒; 白酒; 黄酒;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</si>
  <si>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弥辛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</si>
  <si>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州弥辛文化有限公司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</si>
  <si>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葡萄酒; 果酒（含酒精）</t>
    </r>
  </si>
  <si>
    <r>
      <t>首</t>
    </r>
    <r>
      <rPr>
        <sz val="11"/>
        <color theme="1"/>
        <rFont val="ＭＳ Ｐゴシック"/>
        <family val="3"/>
        <charset val="134"/>
        <scheme val="minor"/>
      </rPr>
      <t>谱</t>
    </r>
  </si>
  <si>
    <r>
      <t xml:space="preserve">果酒（含酒精）;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清酒; 烈酒; 露酒; 葡萄酒; 高粱酒</t>
    </r>
  </si>
  <si>
    <t>韵承</t>
  </si>
  <si>
    <t>李白超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</si>
  <si>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苹果酒;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蜂蜜酒</t>
    </r>
  </si>
  <si>
    <t>神琦医圣堂</t>
  </si>
  <si>
    <r>
      <t>陈</t>
    </r>
    <r>
      <rPr>
        <sz val="11"/>
        <color theme="1"/>
        <rFont val="ＭＳ Ｐゴシック"/>
        <family val="3"/>
        <charset val="128"/>
        <scheme val="minor"/>
      </rPr>
      <t>保林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</si>
  <si>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蜂蜜酒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</si>
  <si>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美好</t>
    </r>
  </si>
  <si>
    <t>李雪</t>
  </si>
  <si>
    <r>
      <t>汽酒; 米酒;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</si>
  <si>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山友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</si>
  <si>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裕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（泰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商科技有限公司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</si>
  <si>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白酒</t>
    </r>
  </si>
  <si>
    <r>
      <t>同</t>
    </r>
    <r>
      <rPr>
        <sz val="11"/>
        <color theme="1"/>
        <rFont val="ＭＳ Ｐゴシック"/>
        <family val="3"/>
        <charset val="134"/>
        <scheme val="minor"/>
      </rPr>
      <t>忧</t>
    </r>
  </si>
  <si>
    <r>
      <t>霍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</si>
  <si>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</si>
  <si>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子生物科技有限公司</t>
    </r>
  </si>
  <si>
    <r>
      <t>开胃酒;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黄酒; 白酒; 烈酒; 利口酒; 米酒</t>
    </r>
  </si>
  <si>
    <r>
      <t>藏</t>
    </r>
    <r>
      <rPr>
        <sz val="11"/>
        <color theme="1"/>
        <rFont val="ＭＳ Ｐゴシック"/>
        <family val="3"/>
        <charset val="134"/>
        <scheme val="minor"/>
      </rPr>
      <t>贵缘</t>
    </r>
    <r>
      <rPr>
        <sz val="11"/>
        <color theme="1"/>
        <rFont val="ＭＳ Ｐゴシック"/>
        <family val="3"/>
        <charset val="128"/>
        <scheme val="minor"/>
      </rPr>
      <t>帝</t>
    </r>
  </si>
  <si>
    <r>
      <t>西藏藏</t>
    </r>
    <r>
      <rPr>
        <sz val="11"/>
        <color theme="1"/>
        <rFont val="ＭＳ Ｐゴシック"/>
        <family val="3"/>
        <charset val="134"/>
        <scheme val="minor"/>
      </rPr>
      <t>贵缘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</si>
  <si>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食用酒精; 高粱酒;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汽酒; 白酒; 葡萄酒; 米酒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</si>
  <si>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汴王子</t>
    </r>
  </si>
  <si>
    <t>葛守林******************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</si>
  <si>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青稞酒;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苦味酒;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</si>
  <si>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莫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</si>
  <si>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州酒城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</si>
  <si>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果酒（含酒精）; 葡萄酒; 白酒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</si>
  <si>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放平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</si>
  <si>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利口酒; 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</si>
  <si>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藏</t>
    </r>
    <r>
      <rPr>
        <sz val="11"/>
        <color theme="1"/>
        <rFont val="ＭＳ Ｐゴシック"/>
        <family val="3"/>
        <charset val="134"/>
        <scheme val="minor"/>
      </rPr>
      <t>贵缘</t>
    </r>
    <r>
      <rPr>
        <sz val="11"/>
        <color theme="1"/>
        <rFont val="ＭＳ Ｐゴシック"/>
        <family val="3"/>
        <charset val="128"/>
        <scheme val="minor"/>
      </rPr>
      <t>匠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</si>
  <si>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汽酒; 白酒; 开胃酒; 食用酒精; 高粱酒; 米酒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</si>
  <si>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大哥同洲湖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</si>
  <si>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</si>
  <si>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>黄酒; 果酒（含酒精）; 梨酒;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</si>
  <si>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些</t>
  </si>
  <si>
    <r>
      <t>上海晗知昂会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</si>
  <si>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葡萄酒; 威士忌; 白酒; 果酒（含酒精）; 清酒（日本米酒）</t>
    </r>
  </si>
  <si>
    <t>御上粉</t>
  </si>
  <si>
    <r>
      <t>集安市天力生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</si>
  <si>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甜酒; 苦味酒;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白干酒（中国白酒）;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</si>
  <si>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釜田</t>
  </si>
  <si>
    <t>陈刚</t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</si>
  <si>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威士忌; 米酒; 利口酒; 白酒; 葡萄酒; 朗姆酒; 伏特加酒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</si>
  <si>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峰聚</t>
    </r>
  </si>
  <si>
    <r>
      <t>西藏藏元生健康科技开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</si>
  <si>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烈酒; 米酒; 白酒; 蜂蜜酒;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葡萄酒</t>
    </r>
  </si>
  <si>
    <t>SZATL</t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</si>
  <si>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神州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</si>
  <si>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力酒; 餐后酒（利口酒和烈酒）; 果酒（含酒精）; 苦味酒;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</si>
  <si>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r>
      <t>贞</t>
    </r>
    <r>
      <rPr>
        <sz val="11"/>
        <color theme="1"/>
        <rFont val="ＭＳ Ｐゴシック"/>
        <family val="3"/>
        <charset val="128"/>
        <scheme val="minor"/>
      </rPr>
      <t>告香酒</t>
    </r>
  </si>
  <si>
    <t>高云斌</t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</si>
  <si>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果酒（含酒精）; 清酒; 烈酒; 米酒</t>
    </r>
  </si>
  <si>
    <r>
      <t>汤</t>
    </r>
    <r>
      <rPr>
        <sz val="11"/>
        <color theme="1"/>
        <rFont val="ＭＳ Ｐゴシック"/>
        <family val="3"/>
        <charset val="128"/>
        <scheme val="minor"/>
      </rPr>
      <t>帝</t>
    </r>
  </si>
  <si>
    <r>
      <t>镡</t>
    </r>
    <r>
      <rPr>
        <sz val="11"/>
        <color theme="1"/>
        <rFont val="ＭＳ Ｐゴシック"/>
        <family val="3"/>
        <charset val="128"/>
        <scheme val="minor"/>
      </rPr>
      <t>菊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</si>
  <si>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清酒（日本米酒）; 葡萄酒; 米酒</t>
    </r>
  </si>
  <si>
    <t>句正</t>
  </si>
  <si>
    <t>李蕊</t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</si>
  <si>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葡萄酒; 果酒（含酒精）; 蜂蜜酒; 白酒</t>
    </r>
  </si>
  <si>
    <r>
      <t>FASUNFORT 法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堡</t>
    </r>
  </si>
  <si>
    <t>胡朝祥</t>
  </si>
  <si>
    <r>
      <t xml:space="preserve">白酒; 清酒（日本米酒）; 黄酒; 威士忌; 果酒（含酒精）;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</si>
  <si>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滏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</si>
  <si>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州四沟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盛酒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</si>
  <si>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蒸煮提取物（利口酒和烈酒）; 米酒; 开胃酒; 黄酒; 果酒; 白酒; 葡萄酒</t>
    </r>
  </si>
  <si>
    <t>UNCLE FOX</t>
  </si>
  <si>
    <t>解超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</si>
  <si>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米酒;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葡萄酒</t>
    </r>
  </si>
  <si>
    <r>
      <t>族</t>
    </r>
    <r>
      <rPr>
        <sz val="11"/>
        <color theme="1"/>
        <rFont val="ＭＳ Ｐゴシック"/>
        <family val="3"/>
        <charset val="134"/>
        <scheme val="minor"/>
      </rPr>
      <t>务</t>
    </r>
  </si>
  <si>
    <t>张维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</si>
  <si>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餐后酒（利口酒和烈酒）;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葡萄酒</t>
    </r>
  </si>
  <si>
    <t>晋清商茂</t>
  </si>
  <si>
    <r>
      <t>赵</t>
    </r>
    <r>
      <rPr>
        <sz val="11"/>
        <color theme="1"/>
        <rFont val="ＭＳ Ｐゴシック"/>
        <family val="3"/>
        <charset val="128"/>
        <scheme val="minor"/>
      </rPr>
      <t>文清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</si>
  <si>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</si>
  <si>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无昧</t>
  </si>
  <si>
    <r>
      <t>王</t>
    </r>
    <r>
      <rPr>
        <sz val="11"/>
        <color theme="1"/>
        <rFont val="ＭＳ Ｐゴシック"/>
        <family val="3"/>
        <charset val="134"/>
        <scheme val="minor"/>
      </rPr>
      <t>显</t>
    </r>
    <r>
      <rPr>
        <sz val="11"/>
        <color theme="1"/>
        <rFont val="ＭＳ Ｐゴシック"/>
        <family val="3"/>
        <charset val="128"/>
        <scheme val="minor"/>
      </rPr>
      <t>洪</t>
    </r>
  </si>
  <si>
    <r>
      <t>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果酒（含酒精）; 葡萄酒</t>
    </r>
  </si>
  <si>
    <t>世梦仙</t>
  </si>
  <si>
    <t>黄甜甜</t>
  </si>
  <si>
    <r>
      <t>白酒; 威士忌; 开胃酒;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</si>
  <si>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t>袁溜溜</t>
  </si>
  <si>
    <t>袁佳</t>
  </si>
  <si>
    <r>
      <t>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果酒; 白酒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</si>
  <si>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号</t>
    </r>
    <r>
      <rPr>
        <sz val="11"/>
        <color theme="1"/>
        <rFont val="ＭＳ Ｐゴシック"/>
        <family val="3"/>
        <charset val="129"/>
        <scheme val="minor"/>
      </rPr>
      <t>怀</t>
    </r>
  </si>
  <si>
    <t>王惠娟</t>
  </si>
  <si>
    <r>
      <t>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</si>
  <si>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关</t>
    </r>
    <r>
      <rPr>
        <sz val="11"/>
        <color theme="1"/>
        <rFont val="ＭＳ Ｐゴシック"/>
        <family val="3"/>
        <charset val="134"/>
        <scheme val="minor"/>
      </rPr>
      <t>爷赐</t>
    </r>
  </si>
  <si>
    <r>
      <t>山西君屹企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</si>
  <si>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高粱酒; 葡萄酒; 白酒; 利口酒; 米酒; 黄酒; 食用酒精; 果酒（含酒精）</t>
    </r>
  </si>
  <si>
    <t>GROUNDBREAKER</t>
  </si>
  <si>
    <r>
      <t>英国格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里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特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</si>
  <si>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玺</t>
    </r>
    <r>
      <rPr>
        <sz val="11"/>
        <color theme="1"/>
        <rFont val="ＭＳ Ｐゴシック"/>
        <family val="3"/>
        <charset val="128"/>
        <scheme val="minor"/>
      </rPr>
      <t>客令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</si>
  <si>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州酒科溯源科技有限公司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</si>
  <si>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</si>
  <si>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皇庭原</t>
  </si>
  <si>
    <r>
      <t>云和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百寿泉酒</t>
    </r>
    <r>
      <rPr>
        <sz val="11"/>
        <color theme="1"/>
        <rFont val="ＭＳ Ｐゴシック"/>
        <family val="3"/>
        <charset val="134"/>
        <scheme val="minor"/>
      </rPr>
      <t>业酿</t>
    </r>
    <r>
      <rPr>
        <sz val="11"/>
        <color theme="1"/>
        <rFont val="ＭＳ Ｐゴシック"/>
        <family val="3"/>
        <charset val="128"/>
        <scheme val="minor"/>
      </rPr>
      <t>造厂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</si>
  <si>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开胃酒; 白酒; 果酒（含酒精）</t>
    </r>
  </si>
  <si>
    <t>MELOKIN</t>
  </si>
  <si>
    <r>
      <t>陆</t>
    </r>
    <r>
      <rPr>
        <sz val="11"/>
        <color theme="1"/>
        <rFont val="ＭＳ Ｐゴシック"/>
        <family val="3"/>
        <charset val="128"/>
        <scheme val="minor"/>
      </rPr>
      <t>河国泰青梅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</si>
  <si>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梅酒;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日本梅子酒;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青梅酒; 佐餐酒; 混合威士忌酒</t>
    </r>
  </si>
  <si>
    <t>漫小九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</si>
  <si>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州漫小九酒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</si>
  <si>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米酒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</si>
  <si>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市旅游行</t>
    </r>
    <r>
      <rPr>
        <sz val="11"/>
        <color theme="1"/>
        <rFont val="ＭＳ Ｐゴシック"/>
        <family val="3"/>
        <charset val="134"/>
        <scheme val="minor"/>
      </rPr>
      <t>业协</t>
    </r>
    <r>
      <rPr>
        <sz val="11"/>
        <color theme="1"/>
        <rFont val="ＭＳ Ｐゴシック"/>
        <family val="3"/>
        <charset val="128"/>
        <scheme val="minor"/>
      </rPr>
      <t>会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合会</t>
    </r>
  </si>
  <si>
    <r>
      <t>白酒; 米酒; 黄酒;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</si>
  <si>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永</t>
    </r>
    <r>
      <rPr>
        <sz val="11"/>
        <color theme="1"/>
        <rFont val="ＭＳ Ｐゴシック"/>
        <family val="3"/>
        <charset val="134"/>
        <scheme val="minor"/>
      </rPr>
      <t>灿</t>
    </r>
  </si>
  <si>
    <t>彭文</t>
  </si>
  <si>
    <r>
      <t>葡萄酒; 米酒; 黄酒; 清酒;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</si>
  <si>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守丰老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</si>
  <si>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市守度酒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</si>
  <si>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露酒; 苹果酒;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</si>
  <si>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又</t>
    </r>
    <r>
      <rPr>
        <sz val="11"/>
        <color theme="1"/>
        <rFont val="ＭＳ Ｐゴシック"/>
        <family val="3"/>
        <charset val="134"/>
        <scheme val="minor"/>
      </rPr>
      <t>见观</t>
    </r>
    <r>
      <rPr>
        <sz val="11"/>
        <color theme="1"/>
        <rFont val="ＭＳ Ｐゴシック"/>
        <family val="3"/>
        <charset val="128"/>
        <scheme val="minor"/>
      </rPr>
      <t>素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</si>
  <si>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惠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</si>
  <si>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清酒; 开胃酒; 蒸煮提取物（利口酒和烈酒）; 青稞酒; 黄酒; 威士忌;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</si>
  <si>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开筵紫</t>
  </si>
  <si>
    <r>
      <t>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</si>
  <si>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走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口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</si>
  <si>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西醉美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口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</si>
  <si>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</si>
  <si>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源白王</t>
  </si>
  <si>
    <r>
      <t>赤峰市</t>
    </r>
    <r>
      <rPr>
        <sz val="11"/>
        <color theme="1"/>
        <rFont val="ＭＳ Ｐゴシック"/>
        <family val="3"/>
        <charset val="134"/>
        <scheme val="minor"/>
      </rPr>
      <t>枫</t>
    </r>
    <r>
      <rPr>
        <sz val="11"/>
        <color theme="1"/>
        <rFont val="ＭＳ Ｐゴシック"/>
        <family val="3"/>
        <charset val="128"/>
        <scheme val="minor"/>
      </rPr>
      <t>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</si>
  <si>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开胃酒; 白酒;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</si>
  <si>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信佰荣</t>
  </si>
  <si>
    <r>
      <t>河南甜酒</t>
    </r>
    <r>
      <rPr>
        <sz val="11"/>
        <color theme="1"/>
        <rFont val="ＭＳ Ｐゴシック"/>
        <family val="3"/>
        <charset val="134"/>
        <scheme val="minor"/>
      </rPr>
      <t>窝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</si>
  <si>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葡萄酒; 青稞酒;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</si>
  <si>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纯</t>
    </r>
    <r>
      <rPr>
        <sz val="11"/>
        <color theme="1"/>
        <rFont val="ＭＳ Ｐゴシック"/>
        <family val="3"/>
        <charset val="128"/>
        <scheme val="minor"/>
      </rPr>
      <t>哈老白干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</si>
  <si>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江鑫德惠酒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</si>
  <si>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白干酒（中国白酒）</t>
  </si>
  <si>
    <t>乾焱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</si>
  <si>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乾元酒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</si>
  <si>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葡萄酒; 利口酒; 威士忌</t>
    </r>
  </si>
  <si>
    <t>朋台名酒</t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</si>
  <si>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白酒; 开胃酒;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</si>
  <si>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狐悦</t>
  </si>
  <si>
    <r>
      <t>郭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娟</t>
    </r>
  </si>
  <si>
    <r>
      <t>汽酒;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果酒（含酒精）; 白酒</t>
    </r>
  </si>
  <si>
    <r>
      <t>泰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山</t>
    </r>
  </si>
  <si>
    <t>河南盈养之家科技有限公司</t>
  </si>
  <si>
    <r>
      <t xml:space="preserve">白酒; 威士忌; 黄酒; 烈酒; 葡萄酒; 果酒（含酒精）; 开胃酒;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</si>
  <si>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港市康厨道食品有限公司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</si>
  <si>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</si>
  <si>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醉福</t>
    </r>
  </si>
  <si>
    <t>李磊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</si>
  <si>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威士忌;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</si>
  <si>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韵将尊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</si>
  <si>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</si>
  <si>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米酒; 白酒</t>
    </r>
  </si>
  <si>
    <r>
      <t>昆</t>
    </r>
    <r>
      <rPr>
        <sz val="11"/>
        <color theme="1"/>
        <rFont val="ＭＳ Ｐゴシック"/>
        <family val="3"/>
        <charset val="134"/>
        <scheme val="minor"/>
      </rPr>
      <t>仑宽</t>
    </r>
    <r>
      <rPr>
        <sz val="11"/>
        <color theme="1"/>
        <rFont val="ＭＳ Ｐゴシック"/>
        <family val="3"/>
        <charset val="128"/>
        <scheme val="minor"/>
      </rPr>
      <t>窄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</si>
  <si>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餐后酒（利口酒和烈酒）; 白酒;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</si>
  <si>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皇家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</si>
  <si>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州金一沙老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</si>
  <si>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白酒; 果酒（含酒精）;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</si>
  <si>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酒部之印</t>
  </si>
  <si>
    <r>
      <t>河南弘之道商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</si>
  <si>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黄酒; 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蒸煮提取物（利口酒和烈酒）</t>
    </r>
  </si>
  <si>
    <r>
      <t>水</t>
    </r>
    <r>
      <rPr>
        <sz val="11"/>
        <color theme="1"/>
        <rFont val="ＭＳ Ｐゴシック"/>
        <family val="3"/>
        <charset val="134"/>
        <scheme val="minor"/>
      </rPr>
      <t>隐</t>
    </r>
    <r>
      <rPr>
        <sz val="11"/>
        <color theme="1"/>
        <rFont val="ＭＳ Ｐゴシック"/>
        <family val="3"/>
        <charset val="128"/>
        <scheme val="minor"/>
      </rPr>
      <t>桑田</t>
    </r>
  </si>
  <si>
    <r>
      <t>成都水</t>
    </r>
    <r>
      <rPr>
        <sz val="11"/>
        <color theme="1"/>
        <rFont val="ＭＳ Ｐゴシック"/>
        <family val="3"/>
        <charset val="134"/>
        <scheme val="minor"/>
      </rPr>
      <t>隐</t>
    </r>
    <r>
      <rPr>
        <sz val="11"/>
        <color theme="1"/>
        <rFont val="ＭＳ Ｐゴシック"/>
        <family val="3"/>
        <charset val="128"/>
        <scheme val="minor"/>
      </rPr>
      <t>桑田生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</si>
  <si>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</si>
  <si>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晟源</t>
    </r>
    <r>
      <rPr>
        <sz val="11"/>
        <color theme="1"/>
        <rFont val="ＭＳ Ｐゴシック"/>
        <family val="3"/>
        <charset val="134"/>
        <scheme val="minor"/>
      </rPr>
      <t>红</t>
    </r>
  </si>
  <si>
    <t>太原市尖草坪区晨源食品商行</t>
  </si>
  <si>
    <r>
      <t>利口酒;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酸酒（低等葡萄酒）;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</si>
  <si>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t>厨邦味道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</si>
  <si>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美味</t>
    </r>
    <r>
      <rPr>
        <sz val="11"/>
        <color theme="1"/>
        <rFont val="ＭＳ Ｐゴシック"/>
        <family val="3"/>
        <charset val="134"/>
        <scheme val="minor"/>
      </rPr>
      <t>鲜调</t>
    </r>
    <r>
      <rPr>
        <sz val="11"/>
        <color theme="1"/>
        <rFont val="ＭＳ Ｐゴシック"/>
        <family val="3"/>
        <charset val="128"/>
        <scheme val="minor"/>
      </rPr>
      <t>味食品有限公司</t>
    </r>
  </si>
  <si>
    <r>
      <t>清酒（日本米酒）;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</si>
  <si>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左</t>
    </r>
    <r>
      <rPr>
        <sz val="11"/>
        <color theme="1"/>
        <rFont val="ＭＳ Ｐゴシック"/>
        <family val="3"/>
        <charset val="134"/>
        <scheme val="minor"/>
      </rPr>
      <t>坞</t>
    </r>
    <r>
      <rPr>
        <sz val="11"/>
        <color theme="1"/>
        <rFont val="ＭＳ Ｐゴシック"/>
        <family val="3"/>
        <charset val="129"/>
        <scheme val="minor"/>
      </rPr>
      <t>浭</t>
    </r>
  </si>
  <si>
    <r>
      <t>袁</t>
    </r>
    <r>
      <rPr>
        <sz val="11"/>
        <color theme="1"/>
        <rFont val="ＭＳ Ｐゴシック"/>
        <family val="3"/>
        <charset val="134"/>
        <scheme val="minor"/>
      </rPr>
      <t>细</t>
    </r>
    <r>
      <rPr>
        <sz val="11"/>
        <color theme="1"/>
        <rFont val="ＭＳ Ｐゴシック"/>
        <family val="3"/>
        <charset val="128"/>
        <scheme val="minor"/>
      </rPr>
      <t>坤*****************X</t>
    </r>
  </si>
  <si>
    <r>
      <t>白酒; 白干酒（中国白酒）; 葡萄酒; 米酒; 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果酒; 高粱酒</t>
    </r>
  </si>
  <si>
    <t>胡烹有道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</si>
  <si>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州醉美星光酒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</si>
  <si>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果酒; 烈酒; 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</si>
  <si>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吉</t>
    </r>
    <r>
      <rPr>
        <sz val="11"/>
        <color theme="1"/>
        <rFont val="ＭＳ Ｐゴシック"/>
        <family val="3"/>
        <charset val="134"/>
        <scheme val="minor"/>
      </rPr>
      <t>哒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</si>
  <si>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塔区吉</t>
    </r>
    <r>
      <rPr>
        <sz val="11"/>
        <color theme="1"/>
        <rFont val="ＭＳ Ｐゴシック"/>
        <family val="3"/>
        <charset val="134"/>
        <scheme val="minor"/>
      </rPr>
      <t>哒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</si>
  <si>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</si>
  <si>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盱匠</t>
  </si>
  <si>
    <r>
      <t>张晓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</si>
  <si>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黄酒; 开胃酒; 米酒;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</si>
  <si>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YANG PAI JIU 央享臻央享樽</t>
  </si>
  <si>
    <t>双喜（浙江）食品有限公司</t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</si>
  <si>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烈酒</t>
    </r>
  </si>
  <si>
    <t>蜀伊王</t>
  </si>
  <si>
    <r>
      <t>杨</t>
    </r>
    <r>
      <rPr>
        <sz val="11"/>
        <color theme="1"/>
        <rFont val="ＭＳ Ｐゴシック"/>
        <family val="3"/>
        <charset val="128"/>
        <scheme val="minor"/>
      </rPr>
      <t>文学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</si>
  <si>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烈酒; 葡萄酒; 果酒（含酒精）; 米酒; 利口酒; 黄酒; 开胃酒; 高粱酒</t>
    </r>
  </si>
  <si>
    <t>MEILA NILE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</si>
  <si>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烈酒; 果酒; 利口酒;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</t>
    </r>
  </si>
  <si>
    <t>凸凸平凹古坊</t>
  </si>
  <si>
    <r>
      <t>商洛市商州平凹古法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</si>
  <si>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蜂蜜酒;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</si>
  <si>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城囍年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</si>
  <si>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燕</t>
    </r>
  </si>
  <si>
    <r>
      <t>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威士忌; 烈酒</t>
    </r>
  </si>
  <si>
    <t>喜愙登来</t>
  </si>
  <si>
    <r>
      <t>凯</t>
    </r>
    <r>
      <rPr>
        <sz val="11"/>
        <color theme="1"/>
        <rFont val="ＭＳ Ｐゴシック"/>
        <family val="3"/>
        <charset val="128"/>
        <scheme val="minor"/>
      </rPr>
      <t>里喜愙餐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中心（个体工商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</si>
  <si>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葡萄酒; 白酒;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</si>
  <si>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r>
      <t>鸗</t>
    </r>
    <r>
      <rPr>
        <sz val="11"/>
        <color theme="1"/>
        <rFont val="ＭＳ Ｐゴシック"/>
        <family val="3"/>
        <charset val="128"/>
        <scheme val="minor"/>
      </rPr>
      <t>翎樽</t>
    </r>
  </si>
  <si>
    <r>
      <t>喜相迎（甘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）置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</si>
  <si>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葡萄酒;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</si>
  <si>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雪元</t>
  </si>
  <si>
    <r>
      <t>谷梁和香(成都)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酒研究院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</si>
  <si>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</si>
  <si>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蒸赫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</si>
  <si>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州精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</si>
  <si>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</si>
  <si>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好匠粮蕊</t>
  </si>
  <si>
    <r>
      <t>成都厚合商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</si>
  <si>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白酒; 果酒（含酒精）;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</si>
  <si>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尊奥利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</si>
  <si>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高密市速</t>
    </r>
    <r>
      <rPr>
        <sz val="11"/>
        <color theme="1"/>
        <rFont val="ＭＳ Ｐゴシック"/>
        <family val="3"/>
        <charset val="134"/>
        <scheme val="minor"/>
      </rPr>
      <t>汇尔贸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</si>
  <si>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汽酒; 白酒; 蜂蜜酒; 黄酒; 清酒（日本米酒）;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</si>
  <si>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花庭</t>
    </r>
  </si>
  <si>
    <r>
      <t>颍</t>
    </r>
    <r>
      <rPr>
        <sz val="11"/>
        <color theme="1"/>
        <rFont val="ＭＳ Ｐゴシック"/>
        <family val="3"/>
        <charset val="128"/>
        <scheme val="minor"/>
      </rPr>
      <t>上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食万家餐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</si>
  <si>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食用酒精; 含酒精蛋奶酒; 葡萄酒</t>
    </r>
  </si>
  <si>
    <t>罡露</t>
  </si>
  <si>
    <t>蒋建瑞</t>
  </si>
  <si>
    <r>
      <t>白酒; 葡萄酒;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</si>
  <si>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后羿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仙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</si>
  <si>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葡萄酒; 食用酒精; 白酒</t>
    </r>
  </si>
  <si>
    <r>
      <t>戈峰</t>
    </r>
    <r>
      <rPr>
        <sz val="11"/>
        <color theme="1"/>
        <rFont val="ＭＳ Ｐゴシック"/>
        <family val="3"/>
        <charset val="134"/>
        <scheme val="minor"/>
      </rPr>
      <t>耸</t>
    </r>
    <r>
      <rPr>
        <sz val="11"/>
        <color theme="1"/>
        <rFont val="ＭＳ Ｐゴシック"/>
        <family val="3"/>
        <charset val="128"/>
        <scheme val="minor"/>
      </rPr>
      <t>翠</t>
    </r>
  </si>
  <si>
    <r>
      <t>连</t>
    </r>
    <r>
      <rPr>
        <sz val="11"/>
        <color theme="1"/>
        <rFont val="ＭＳ Ｐゴシック"/>
        <family val="3"/>
        <charset val="128"/>
        <scheme val="minor"/>
      </rPr>
      <t>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戈峰</t>
    </r>
    <r>
      <rPr>
        <sz val="11"/>
        <color theme="1"/>
        <rFont val="ＭＳ Ｐゴシック"/>
        <family val="3"/>
        <charset val="134"/>
        <scheme val="minor"/>
      </rPr>
      <t>耸</t>
    </r>
    <r>
      <rPr>
        <sz val="11"/>
        <color theme="1"/>
        <rFont val="ＭＳ Ｐゴシック"/>
        <family val="3"/>
        <charset val="128"/>
        <scheme val="minor"/>
      </rPr>
      <t>翠生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</si>
  <si>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甜酒; 白干酒（中国白酒）;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</si>
  <si>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帝王</t>
    </r>
    <r>
      <rPr>
        <sz val="11"/>
        <color theme="1"/>
        <rFont val="ＭＳ Ｐゴシック"/>
        <family val="3"/>
        <charset val="134"/>
        <scheme val="minor"/>
      </rPr>
      <t>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</si>
  <si>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壹玖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</si>
  <si>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苹果酒;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开胃酒;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</si>
  <si>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徐氏五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公</t>
    </r>
  </si>
  <si>
    <r>
      <t>浏</t>
    </r>
    <r>
      <rPr>
        <sz val="11"/>
        <color theme="1"/>
        <rFont val="ＭＳ Ｐゴシック"/>
        <family val="3"/>
        <charset val="128"/>
        <scheme val="minor"/>
      </rPr>
      <t>阳市瓦筑生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</si>
  <si>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 xml:space="preserve">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甜酒; 高粱酒;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</t>
    </r>
  </si>
  <si>
    <t>朔囍</t>
  </si>
  <si>
    <t>闫庆华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</si>
  <si>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米酒; 黄酒; 果酒; 汽酒; 威士忌</t>
    </r>
  </si>
  <si>
    <t>庄存</t>
  </si>
  <si>
    <r>
      <t xml:space="preserve">葡萄酒;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</si>
  <si>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乾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</si>
  <si>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苹果酒; 青稞酒; 蜂蜜酒;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薄荷酒;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</si>
  <si>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恒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公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</si>
  <si>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镇红</t>
    </r>
    <r>
      <rPr>
        <sz val="11"/>
        <color theme="1"/>
        <rFont val="ＭＳ Ｐゴシック"/>
        <family val="3"/>
        <charset val="128"/>
        <scheme val="minor"/>
      </rPr>
      <t>色一号酒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</si>
  <si>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青稞酒;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</si>
  <si>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流年双</t>
    </r>
    <r>
      <rPr>
        <sz val="11"/>
        <color theme="1"/>
        <rFont val="ＭＳ Ｐゴシック"/>
        <family val="3"/>
        <charset val="134"/>
        <scheme val="minor"/>
      </rPr>
      <t>娇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</si>
  <si>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苏苏</t>
    </r>
    <r>
      <rPr>
        <sz val="11"/>
        <color theme="1"/>
        <rFont val="ＭＳ Ｐゴシック"/>
        <family val="3"/>
        <charset val="128"/>
        <scheme val="minor"/>
      </rPr>
      <t>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</si>
  <si>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</si>
  <si>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工夫井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</si>
  <si>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甘蔗制烈酒</t>
    </r>
  </si>
  <si>
    <r>
      <t>萸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</si>
  <si>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佛坪山茱萸科技开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</si>
  <si>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青稞酒;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柑香酒</t>
    </r>
  </si>
  <si>
    <t>智品台</t>
  </si>
  <si>
    <r>
      <t>杨</t>
    </r>
    <r>
      <rPr>
        <sz val="11"/>
        <color theme="1"/>
        <rFont val="ＭＳ Ｐゴシック"/>
        <family val="3"/>
        <charset val="128"/>
        <scheme val="minor"/>
      </rPr>
      <t>燕雪</t>
    </r>
  </si>
  <si>
    <r>
      <t>露酒; 果酒;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</t>
    </r>
  </si>
  <si>
    <r>
      <t>李喜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酒坊</t>
    </r>
  </si>
  <si>
    <t>古小英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</si>
  <si>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</si>
  <si>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r>
      <t>田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碧玉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</si>
  <si>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东庆硕</t>
    </r>
    <r>
      <rPr>
        <sz val="11"/>
        <color theme="1"/>
        <rFont val="ＭＳ Ｐゴシック"/>
        <family val="3"/>
        <charset val="128"/>
        <scheme val="minor"/>
      </rPr>
      <t>云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</si>
  <si>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青梅酒;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</si>
  <si>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t>朋台美酒</t>
  </si>
  <si>
    <r>
      <t>葡萄酒; 蜂蜜酒; 蒸煮提取物（利口酒和烈酒）; 果酒（含酒精）;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</si>
  <si>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见</t>
    </r>
    <r>
      <rPr>
        <sz val="11"/>
        <color theme="1"/>
        <rFont val="ＭＳ Ｐゴシック"/>
        <family val="3"/>
        <charset val="128"/>
        <scheme val="minor"/>
      </rPr>
      <t>山踏歌</t>
    </r>
  </si>
  <si>
    <r>
      <t>成都卓宇天投科技集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</si>
  <si>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白酒; 米酒</t>
    </r>
  </si>
  <si>
    <t>PINNACLE DROPS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</si>
  <si>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录</t>
    </r>
    <r>
      <rPr>
        <sz val="11"/>
        <color theme="1"/>
        <rFont val="ＭＳ Ｐゴシック"/>
        <family val="3"/>
        <charset val="128"/>
        <scheme val="minor"/>
      </rPr>
      <t>酊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文化交流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</si>
  <si>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酸酒（低等葡萄酒）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</si>
  <si>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鹤</t>
    </r>
  </si>
  <si>
    <r>
      <t>安徽前店后坊酒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</si>
  <si>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米酒; 白酒;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</si>
  <si>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t>中柴</t>
  </si>
  <si>
    <r>
      <t>张兴</t>
    </r>
    <r>
      <rPr>
        <sz val="11"/>
        <color theme="1"/>
        <rFont val="ＭＳ Ｐゴシック"/>
        <family val="3"/>
        <charset val="128"/>
        <scheme val="minor"/>
      </rPr>
      <t>旺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</si>
  <si>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</t>
    </r>
  </si>
  <si>
    <r>
      <t>THIERNO 蒂</t>
    </r>
    <r>
      <rPr>
        <sz val="11"/>
        <color theme="1"/>
        <rFont val="ＭＳ Ｐゴシック"/>
        <family val="3"/>
        <charset val="134"/>
        <scheme val="minor"/>
      </rPr>
      <t>亚诺</t>
    </r>
  </si>
  <si>
    <r>
      <t>吉克名庄</t>
    </r>
    <r>
      <rPr>
        <sz val="11"/>
        <color theme="1"/>
        <rFont val="ＭＳ Ｐゴシック"/>
        <family val="3"/>
        <charset val="134"/>
        <scheme val="minor"/>
      </rPr>
      <t>荟</t>
    </r>
    <r>
      <rPr>
        <sz val="11"/>
        <color theme="1"/>
        <rFont val="ＭＳ Ｐゴシック"/>
        <family val="3"/>
        <charset val="128"/>
        <scheme val="minor"/>
      </rPr>
      <t>葡萄酒（北京）有限公司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</si>
  <si>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</si>
  <si>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GOUGUNAO</t>
  </si>
  <si>
    <r>
      <t>江西狗牯</t>
    </r>
    <r>
      <rPr>
        <sz val="11"/>
        <color theme="1"/>
        <rFont val="ＭＳ Ｐゴシック"/>
        <family val="3"/>
        <charset val="134"/>
        <scheme val="minor"/>
      </rPr>
      <t>脑</t>
    </r>
    <r>
      <rPr>
        <sz val="11"/>
        <color theme="1"/>
        <rFont val="ＭＳ Ｐゴシック"/>
        <family val="3"/>
        <charset val="128"/>
        <scheme val="minor"/>
      </rPr>
      <t>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</si>
  <si>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</si>
  <si>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酒仙聚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湖之光</t>
    </r>
  </si>
  <si>
    <t>郭世吉</t>
  </si>
  <si>
    <r>
      <t>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食用酒精;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</si>
  <si>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川御仙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</si>
  <si>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州粮淳美酒酒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</si>
  <si>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蒸煮提取物（利口酒和烈酒）; 葡萄酒; 米酒; 伏特加酒;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白酒</t>
    </r>
  </si>
  <si>
    <t>威哩威斯</t>
  </si>
  <si>
    <r>
      <t>建水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石榴工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</si>
  <si>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果酒（含酒精）; 清酒（日本米酒）; 蒸煮提取物（利口酒和烈酒）;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</si>
  <si>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t>大漠双雄</t>
  </si>
  <si>
    <t>申晨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</si>
  <si>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蒸煮提取物（利口酒和烈酒）; 黄酒; 葡萄酒;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</si>
  <si>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CHATEAU DESCLAU 可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世家</t>
    </r>
  </si>
  <si>
    <t>埃斯希雅圣耐拉克城堡酒庄</t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</si>
  <si>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</si>
  <si>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旺旺</t>
    </r>
    <r>
      <rPr>
        <sz val="11"/>
        <color theme="1"/>
        <rFont val="ＭＳ Ｐゴシック"/>
        <family val="3"/>
        <charset val="134"/>
        <scheme val="minor"/>
      </rPr>
      <t>鸽鲜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</si>
  <si>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>巩</t>
    </r>
    <r>
      <rPr>
        <sz val="11"/>
        <color theme="1"/>
        <rFont val="ＭＳ Ｐゴシック"/>
        <family val="3"/>
        <charset val="134"/>
        <scheme val="minor"/>
      </rPr>
      <t>红艳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</si>
  <si>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</si>
  <si>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食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 xml:space="preserve"> SHZZKU 食之</t>
    </r>
    <r>
      <rPr>
        <sz val="11"/>
        <color theme="1"/>
        <rFont val="ＭＳ Ｐゴシック"/>
        <family val="3"/>
        <charset val="134"/>
        <scheme val="minor"/>
      </rPr>
      <t>库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</si>
  <si>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秋群</t>
    </r>
  </si>
  <si>
    <r>
      <t>白酒; 威士忌;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</si>
  <si>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权满</t>
    </r>
    <r>
      <rPr>
        <sz val="11"/>
        <color theme="1"/>
        <rFont val="ＭＳ Ｐゴシック"/>
        <family val="3"/>
        <charset val="128"/>
        <scheme val="minor"/>
      </rPr>
      <t>柔</t>
    </r>
  </si>
  <si>
    <r>
      <t>赖传</t>
    </r>
    <r>
      <rPr>
        <sz val="11"/>
        <color theme="1"/>
        <rFont val="ＭＳ Ｐゴシック"/>
        <family val="3"/>
        <charset val="128"/>
        <scheme val="minor"/>
      </rPr>
      <t>力</t>
    </r>
  </si>
  <si>
    <r>
      <t>果酒（含酒精）;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</si>
  <si>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心</t>
    </r>
    <r>
      <rPr>
        <sz val="11"/>
        <color theme="1"/>
        <rFont val="ＭＳ Ｐゴシック"/>
        <family val="3"/>
        <charset val="134"/>
        <scheme val="minor"/>
      </rPr>
      <t>视</t>
    </r>
  </si>
  <si>
    <r>
      <t>心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（北京）影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</si>
  <si>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朗姆酒; 食用酒精; 葡萄酒;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威士忌</t>
    </r>
  </si>
  <si>
    <t>瑶王妃</t>
  </si>
  <si>
    <r>
      <t>张</t>
    </r>
    <r>
      <rPr>
        <sz val="11"/>
        <color theme="1"/>
        <rFont val="ＭＳ Ｐゴシック"/>
        <family val="3"/>
        <charset val="128"/>
        <scheme val="minor"/>
      </rPr>
      <t>冬洋</t>
    </r>
  </si>
  <si>
    <r>
      <t xml:space="preserve">朗姆酒;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</si>
  <si>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熟雅</t>
  </si>
  <si>
    <r>
      <t>成都熊本</t>
    </r>
    <r>
      <rPr>
        <sz val="11"/>
        <color theme="1"/>
        <rFont val="ＭＳ Ｐゴシック"/>
        <family val="3"/>
        <charset val="134"/>
        <scheme val="minor"/>
      </rPr>
      <t>购电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</si>
  <si>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青稞酒; 白酒</t>
    </r>
  </si>
  <si>
    <t>周秦一脉</t>
  </si>
  <si>
    <r>
      <t>湖州老恒和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</si>
  <si>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</si>
  <si>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梦</t>
    </r>
  </si>
  <si>
    <t>孔祥均</t>
  </si>
  <si>
    <r>
      <t xml:space="preserve">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烈酒;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</si>
  <si>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红顶鹤</t>
    </r>
    <r>
      <rPr>
        <sz val="11"/>
        <color theme="1"/>
        <rFont val="ＭＳ Ｐゴシック"/>
        <family val="3"/>
        <charset val="128"/>
        <scheme val="minor"/>
      </rPr>
      <t>群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</si>
  <si>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环风</t>
    </r>
    <r>
      <rPr>
        <sz val="11"/>
        <color theme="1"/>
        <rFont val="ＭＳ Ｐゴシック"/>
        <family val="3"/>
        <charset val="128"/>
        <scheme val="minor"/>
      </rPr>
      <t>雷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保科技有限公司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</si>
  <si>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</si>
  <si>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CFA</t>
  </si>
  <si>
    <r>
      <t>中国</t>
    </r>
    <r>
      <rPr>
        <sz val="11"/>
        <color theme="1"/>
        <rFont val="ＭＳ Ｐゴシック"/>
        <family val="3"/>
        <charset val="134"/>
        <scheme val="minor"/>
      </rPr>
      <t>铸</t>
    </r>
    <r>
      <rPr>
        <sz val="11"/>
        <color theme="1"/>
        <rFont val="ＭＳ Ｐゴシック"/>
        <family val="3"/>
        <charset val="128"/>
        <scheme val="minor"/>
      </rPr>
      <t>造</t>
    </r>
    <r>
      <rPr>
        <sz val="11"/>
        <color theme="1"/>
        <rFont val="ＭＳ Ｐゴシック"/>
        <family val="3"/>
        <charset val="134"/>
        <scheme val="minor"/>
      </rPr>
      <t>协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</si>
  <si>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 xml:space="preserve">白酒; 食用酒精; 伏特加酒;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</si>
  <si>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漫冲</t>
  </si>
  <si>
    <r>
      <t>河南那些年餐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</si>
  <si>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开胃酒;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</si>
  <si>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向云峰</t>
  </si>
  <si>
    <r>
      <t>郭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</si>
  <si>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清酒（日本米酒）; 葡萄酒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</si>
  <si>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烈酒; 葡萄酒;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</si>
  <si>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t>谷迹</t>
  </si>
  <si>
    <r>
      <t>候佳</t>
    </r>
    <r>
      <rPr>
        <sz val="11"/>
        <color theme="1"/>
        <rFont val="ＭＳ Ｐゴシック"/>
        <family val="3"/>
        <charset val="134"/>
        <scheme val="minor"/>
      </rPr>
      <t>齐</t>
    </r>
  </si>
  <si>
    <r>
      <t>果酒（含酒精）; 高粱酒; 白干酒（中国白酒）;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</si>
  <si>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溢盛功</t>
  </si>
  <si>
    <t>台州益功科技有限公司</t>
  </si>
  <si>
    <r>
      <t xml:space="preserve">开胃酒;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苹果酒; 米酒; 梅酒; 高粱酒</t>
    </r>
  </si>
  <si>
    <r>
      <t>呈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</si>
  <si>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林</t>
    </r>
    <r>
      <rPr>
        <sz val="11"/>
        <color theme="1"/>
        <rFont val="ＭＳ Ｐゴシック"/>
        <family val="3"/>
        <charset val="134"/>
        <scheme val="minor"/>
      </rPr>
      <t>钦</t>
    </r>
    <r>
      <rPr>
        <sz val="11"/>
        <color theme="1"/>
        <rFont val="ＭＳ Ｐゴシック"/>
        <family val="3"/>
        <charset val="128"/>
        <scheme val="minor"/>
      </rPr>
      <t>河</t>
    </r>
  </si>
  <si>
    <r>
      <t>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白干酒（中国白酒）;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</t>
    </r>
  </si>
  <si>
    <t>晃晃猫</t>
  </si>
  <si>
    <r>
      <t>叶梓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</si>
  <si>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>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清酒（日本米酒）; 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</t>
    </r>
  </si>
  <si>
    <t>尽善里</t>
  </si>
  <si>
    <r>
      <t>山西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</si>
  <si>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蜂蜜酒;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</t>
    </r>
  </si>
  <si>
    <r>
      <t>额</t>
    </r>
    <r>
      <rPr>
        <sz val="11"/>
        <color theme="1"/>
        <rFont val="ＭＳ Ｐゴシック"/>
        <family val="3"/>
        <charset val="128"/>
        <scheme val="minor"/>
      </rPr>
      <t>吉河</t>
    </r>
  </si>
  <si>
    <t>池岩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</si>
  <si>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</si>
  <si>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玛飞</t>
    </r>
    <r>
      <rPr>
        <sz val="11"/>
        <color theme="1"/>
        <rFont val="ＭＳ Ｐゴシック"/>
        <family val="3"/>
        <charset val="128"/>
        <scheme val="minor"/>
      </rPr>
      <t>卡</t>
    </r>
  </si>
  <si>
    <r>
      <t>章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荷</t>
    </r>
  </si>
  <si>
    <r>
      <t>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佐餐酒; 果酒; 黄酒; 米酒; 汽酒</t>
    </r>
  </si>
  <si>
    <r>
      <t>本草法</t>
    </r>
    <r>
      <rPr>
        <sz val="11"/>
        <color theme="1"/>
        <rFont val="ＭＳ Ｐゴシック"/>
        <family val="3"/>
        <charset val="134"/>
        <scheme val="minor"/>
      </rPr>
      <t>则</t>
    </r>
  </si>
  <si>
    <t>素雅生物科技（吉林）有限公司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</si>
  <si>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米酒</t>
    </r>
  </si>
  <si>
    <t>画稿溪井辰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</si>
  <si>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州鑫淼森焱垚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</si>
  <si>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伏特加酒; 汽酒; 威士忌; 米酒;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</si>
  <si>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垂涎玉液-人和</t>
  </si>
  <si>
    <r>
      <t>安徽国粹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</si>
  <si>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</si>
  <si>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r>
      <t>蜀香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</si>
  <si>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余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</si>
  <si>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果酒; 烈酒; 汽酒;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</t>
    </r>
  </si>
  <si>
    <t>仙味良食</t>
  </si>
  <si>
    <r>
      <t>北京魔法豆影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</si>
  <si>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葡萄酒; 米酒;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</t>
    </r>
  </si>
  <si>
    <r>
      <t>鹿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阳</t>
    </r>
  </si>
  <si>
    <t>黄香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</si>
  <si>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</si>
  <si>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杭州香曲宋酒文化有限公司</t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</si>
  <si>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果酒（含酒精）; 食用酒精</t>
    </r>
  </si>
  <si>
    <t>金樽在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</si>
  <si>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沙慧朋文化有限公司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</si>
  <si>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白干酒（中国白酒）; 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</t>
    </r>
  </si>
  <si>
    <r>
      <t>待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</si>
  <si>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果酒; 伏特加酒; 黄酒; 威士忌; 梅酒; 汽酒</t>
    </r>
  </si>
  <si>
    <r>
      <t>战</t>
    </r>
    <r>
      <rPr>
        <sz val="11"/>
        <color theme="1"/>
        <rFont val="ＭＳ Ｐゴシック"/>
        <family val="3"/>
        <charset val="128"/>
        <scheme val="minor"/>
      </rPr>
      <t>家酒坊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</si>
  <si>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佰酒酒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</si>
  <si>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白酒; 葡萄酒</t>
    </r>
  </si>
  <si>
    <r>
      <t>泽</t>
    </r>
    <r>
      <rPr>
        <sz val="11"/>
        <color theme="1"/>
        <rFont val="ＭＳ Ｐゴシック"/>
        <family val="3"/>
        <charset val="128"/>
        <scheme val="minor"/>
      </rPr>
      <t>洋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</si>
  <si>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海（北京）投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</si>
  <si>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</si>
  <si>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润泽</t>
    </r>
    <r>
      <rPr>
        <sz val="11"/>
        <color theme="1"/>
        <rFont val="ＭＳ Ｐゴシック"/>
        <family val="3"/>
        <charset val="128"/>
        <scheme val="minor"/>
      </rPr>
      <t>昌</t>
    </r>
  </si>
  <si>
    <r>
      <t>广州市</t>
    </r>
    <r>
      <rPr>
        <sz val="11"/>
        <color theme="1"/>
        <rFont val="ＭＳ Ｐゴシック"/>
        <family val="3"/>
        <charset val="134"/>
        <scheme val="minor"/>
      </rPr>
      <t>润泽</t>
    </r>
    <r>
      <rPr>
        <sz val="11"/>
        <color theme="1"/>
        <rFont val="ＭＳ Ｐゴシック"/>
        <family val="3"/>
        <charset val="128"/>
        <scheme val="minor"/>
      </rPr>
      <t>昌茶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</si>
  <si>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威士忌; 黄酒;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伏特加酒</t>
    </r>
  </si>
  <si>
    <t>黎寨阿哥</t>
  </si>
  <si>
    <r>
      <t>海南海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百川文化有限公司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</si>
  <si>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清酒（日本米酒）;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</si>
  <si>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作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</si>
  <si>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青稞酒</t>
    </r>
  </si>
  <si>
    <r>
      <t>读</t>
    </r>
    <r>
      <rPr>
        <sz val="11"/>
        <color theme="1"/>
        <rFont val="ＭＳ Ｐゴシック"/>
        <family val="3"/>
        <charset val="128"/>
        <scheme val="minor"/>
      </rPr>
      <t>作</t>
    </r>
  </si>
  <si>
    <r>
      <t xml:space="preserve">葡萄酒; 白酒; 米酒; 黄酒; 青稞酒;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</si>
  <si>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功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</si>
  <si>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辰芯（福建）文旅有限公司</t>
    </r>
  </si>
  <si>
    <r>
      <t>黄酒; 食用酒精;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</t>
    </r>
  </si>
  <si>
    <t>神弦</t>
  </si>
  <si>
    <r>
      <t>浙江礼水印酒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</si>
  <si>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</si>
  <si>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泰泉古谷</t>
  </si>
  <si>
    <r>
      <t>长</t>
    </r>
    <r>
      <rPr>
        <sz val="11"/>
        <color theme="1"/>
        <rFont val="ＭＳ Ｐゴシック"/>
        <family val="3"/>
        <charset val="128"/>
        <scheme val="minor"/>
      </rPr>
      <t>泰</t>
    </r>
    <r>
      <rPr>
        <sz val="11"/>
        <color theme="1"/>
        <rFont val="ＭＳ Ｐゴシック"/>
        <family val="3"/>
        <charset val="134"/>
        <scheme val="minor"/>
      </rPr>
      <t>县杨</t>
    </r>
    <r>
      <rPr>
        <sz val="11"/>
        <color theme="1"/>
        <rFont val="ＭＳ Ｐゴシック"/>
        <family val="3"/>
        <charset val="128"/>
        <scheme val="minor"/>
      </rPr>
      <t>氏白酒加工</t>
    </r>
    <r>
      <rPr>
        <sz val="11"/>
        <color theme="1"/>
        <rFont val="ＭＳ Ｐゴシック"/>
        <family val="3"/>
        <charset val="134"/>
        <scheme val="minor"/>
      </rPr>
      <t>场</t>
    </r>
  </si>
  <si>
    <r>
      <t>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</si>
  <si>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r>
      <t>渐</t>
    </r>
    <r>
      <rPr>
        <sz val="11"/>
        <color theme="1"/>
        <rFont val="ＭＳ Ｐゴシック"/>
        <family val="3"/>
        <charset val="128"/>
        <scheme val="minor"/>
      </rPr>
      <t>河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</si>
  <si>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伏特加酒; 白酒; 蒸煮提取物（利口酒和烈酒）; 葡萄酒; 朗姆酒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</si>
  <si>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 xml:space="preserve"> 淮和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</si>
  <si>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缘酿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</si>
  <si>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黄酒; 食用酒精; 果酒（含酒精）; 开胃酒; 清酒（日本米酒）</t>
    </r>
  </si>
  <si>
    <r>
      <t>垂涎玉液-天</t>
    </r>
    <r>
      <rPr>
        <sz val="11"/>
        <color theme="1"/>
        <rFont val="ＭＳ Ｐゴシック"/>
        <family val="3"/>
        <charset val="134"/>
        <scheme val="minor"/>
      </rPr>
      <t>时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</si>
  <si>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伏特加酒; 白酒; 果酒（含酒精）</t>
    </r>
  </si>
  <si>
    <t>王令天下</t>
  </si>
  <si>
    <r>
      <t>北京王茅匠心酒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</si>
  <si>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青稞酒; 果酒（含酒精）;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白酒; 黄酒; 梨酒</t>
    </r>
  </si>
  <si>
    <t>馥有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</si>
  <si>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美酒佳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</si>
  <si>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食用酒精; 蜂蜜酒;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</si>
  <si>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MAIAMI BLUE</t>
  </si>
  <si>
    <r>
      <t>王家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</si>
  <si>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黄酒; 白酒;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</si>
  <si>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仙洲</t>
    </r>
  </si>
  <si>
    <r>
      <t>李金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</si>
  <si>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</si>
  <si>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正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田三九</t>
    </r>
  </si>
  <si>
    <r>
      <t>白酒;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食用酒精; 果酒</t>
    </r>
  </si>
  <si>
    <r>
      <t>羚羊峡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哥</t>
    </r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</si>
  <si>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市西江酒厂有限公司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</si>
  <si>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</si>
  <si>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见</t>
    </r>
    <r>
      <rPr>
        <sz val="11"/>
        <color theme="1"/>
        <rFont val="ＭＳ Ｐゴシック"/>
        <family val="3"/>
        <charset val="128"/>
        <scheme val="minor"/>
      </rPr>
      <t>章台</t>
    </r>
  </si>
  <si>
    <r>
      <t>曹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燕</t>
    </r>
  </si>
  <si>
    <r>
      <t xml:space="preserve">黄酒;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</t>
    </r>
  </si>
  <si>
    <t>黔吴老</t>
  </si>
  <si>
    <t>吴云</t>
  </si>
  <si>
    <r>
      <t xml:space="preserve">梨酒; 黄酒; 青稞酒; 利口酒; 白干酒（中国白酒）;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</si>
  <si>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璟福</t>
    </r>
    <r>
      <rPr>
        <sz val="11"/>
        <color theme="1"/>
        <rFont val="ＭＳ Ｐゴシック"/>
        <family val="3"/>
        <charset val="134"/>
        <scheme val="minor"/>
      </rPr>
      <t>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</si>
  <si>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州乾福酒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</si>
  <si>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高粱酒</t>
    </r>
  </si>
  <si>
    <r>
      <t>贵钧</t>
    </r>
    <r>
      <rPr>
        <sz val="11"/>
        <color theme="1"/>
        <rFont val="ＭＳ Ｐゴシック"/>
        <family val="3"/>
        <charset val="128"/>
        <scheme val="minor"/>
      </rPr>
      <t>乾</t>
    </r>
  </si>
  <si>
    <r>
      <t>宁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茂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</si>
  <si>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白干酒（中国白酒）; 苦味酒; 葡萄酒</t>
    </r>
  </si>
  <si>
    <r>
      <t>刘小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</si>
  <si>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 xml:space="preserve">果酒; 威末酒; 葡萄酒; 白酒; 高粱酒; 青稞酒; 黄酒;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</si>
  <si>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广帮御配</t>
  </si>
  <si>
    <r>
      <t>张谈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</si>
  <si>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>葡萄酒; 烈酒; 露酒; 黄酒; 食用酒精;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</si>
  <si>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杰卡夫</t>
  </si>
  <si>
    <r>
      <t>许艳</t>
    </r>
    <r>
      <rPr>
        <sz val="11"/>
        <color theme="1"/>
        <rFont val="ＭＳ Ｐゴシック"/>
        <family val="3"/>
        <charset val="128"/>
        <scheme val="minor"/>
      </rPr>
      <t>玲</t>
    </r>
  </si>
  <si>
    <r>
      <t>黄酒; 白酒; 伏特加酒; 葡萄酒; 果酒（含酒精）;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</si>
  <si>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御乾王</t>
  </si>
  <si>
    <t>赖贵红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</si>
  <si>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</t>
    </r>
  </si>
  <si>
    <r>
      <t>海南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合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</si>
  <si>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白酒; 米酒;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</si>
  <si>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神仙</t>
    </r>
    <r>
      <rPr>
        <sz val="11"/>
        <color theme="1"/>
        <rFont val="ＭＳ Ｐゴシック"/>
        <family val="3"/>
        <charset val="134"/>
        <scheme val="minor"/>
      </rPr>
      <t>头</t>
    </r>
  </si>
  <si>
    <t>廖莉萍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</si>
  <si>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黄酒; 食用酒精; 清酒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</si>
  <si>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</si>
  <si>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鼎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</si>
  <si>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食用酒精; 果酒（含酒精）; 白酒; 汽酒; 利口酒; 米酒;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</si>
  <si>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金撬</t>
  </si>
  <si>
    <r>
      <t>陈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</si>
  <si>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</si>
  <si>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那水旗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</si>
  <si>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溪泉酒厂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</si>
  <si>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果酒（含酒精）; 米酒;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</t>
    </r>
  </si>
  <si>
    <t>三湘酃酒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</si>
  <si>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鼎行</t>
    </r>
    <r>
      <rPr>
        <sz val="11"/>
        <color theme="1"/>
        <rFont val="ＭＳ Ｐゴシック"/>
        <family val="3"/>
        <charset val="134"/>
        <scheme val="minor"/>
      </rPr>
      <t>经贸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</si>
  <si>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米酒; 食用酒精;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苦味酒;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</si>
  <si>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蒙八道</t>
  </si>
  <si>
    <r>
      <t>罗</t>
    </r>
    <r>
      <rPr>
        <sz val="11"/>
        <color theme="1"/>
        <rFont val="ＭＳ Ｐゴシック"/>
        <family val="3"/>
        <charset val="128"/>
        <scheme val="minor"/>
      </rPr>
      <t>少平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</si>
  <si>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</si>
  <si>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南裕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小金窖</t>
    </r>
  </si>
  <si>
    <r>
      <t>北京隆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号方庄酒厂有限公司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</si>
  <si>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朗姆酒; 米酒; 果酒（含酒精）; 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</si>
  <si>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红顶鹤</t>
    </r>
    <r>
      <rPr>
        <sz val="11"/>
        <color theme="1"/>
        <rFont val="ＭＳ Ｐゴシック"/>
        <family val="3"/>
        <charset val="128"/>
        <scheme val="minor"/>
      </rPr>
      <t>舞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</si>
  <si>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米酒;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</si>
  <si>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男猿</t>
  </si>
  <si>
    <r>
      <t>张</t>
    </r>
    <r>
      <rPr>
        <sz val="11"/>
        <color theme="1"/>
        <rFont val="ＭＳ Ｐゴシック"/>
        <family val="3"/>
        <charset val="128"/>
        <scheme val="minor"/>
      </rPr>
      <t>家界仙踪林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</si>
  <si>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餐后酒（利口酒和烈酒）; 黄酒; 葡萄酒;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苦味酒; 果酒; 白酒</t>
    </r>
  </si>
  <si>
    <r>
      <t>渐</t>
    </r>
    <r>
      <rPr>
        <sz val="11"/>
        <color theme="1"/>
        <rFont val="ＭＳ Ｐゴシック"/>
        <family val="3"/>
        <charset val="128"/>
        <scheme val="minor"/>
      </rPr>
      <t>河情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</si>
  <si>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朗姆酒; 伏特加酒; 黄酒; 蒸煮提取物（利口酒和烈酒）; 米酒</t>
    </r>
  </si>
  <si>
    <r>
      <t>每人</t>
    </r>
    <r>
      <rPr>
        <sz val="11"/>
        <color theme="1"/>
        <rFont val="ＭＳ Ｐゴシック"/>
        <family val="3"/>
        <charset val="134"/>
        <scheme val="minor"/>
      </rPr>
      <t>观</t>
    </r>
  </si>
  <si>
    <r>
      <t>尚力</t>
    </r>
    <r>
      <rPr>
        <sz val="11"/>
        <color theme="1"/>
        <rFont val="ＭＳ Ｐゴシック"/>
        <family val="3"/>
        <charset val="134"/>
        <scheme val="minor"/>
      </rPr>
      <t>铜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</si>
  <si>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食用酒精; 白酒; 青稞酒; 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米酒</t>
    </r>
  </si>
  <si>
    <t>夫妻峰</t>
  </si>
  <si>
    <r>
      <t>高</t>
    </r>
    <r>
      <rPr>
        <sz val="11"/>
        <color theme="1"/>
        <rFont val="ＭＳ Ｐゴシック"/>
        <family val="3"/>
        <charset val="134"/>
        <scheme val="minor"/>
      </rPr>
      <t>骥</t>
    </r>
    <r>
      <rPr>
        <sz val="11"/>
        <color theme="1"/>
        <rFont val="ＭＳ Ｐゴシック"/>
        <family val="3"/>
        <charset val="128"/>
        <scheme val="minor"/>
      </rPr>
      <t>瓯</t>
    </r>
  </si>
  <si>
    <r>
      <t>蜂蜜酒;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</t>
    </r>
  </si>
  <si>
    <r>
      <t>五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</si>
  <si>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军创</t>
    </r>
    <r>
      <rPr>
        <sz val="11"/>
        <color theme="1"/>
        <rFont val="ＭＳ Ｐゴシック"/>
        <family val="3"/>
        <charset val="128"/>
        <scheme val="minor"/>
      </rPr>
      <t>善达商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</si>
  <si>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露酒; 白干酒（中国白酒）; 米酒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</si>
  <si>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临华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</si>
  <si>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肖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</si>
  <si>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青稞酒; 食用酒精; 葡萄酒;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</si>
  <si>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老同老</t>
  </si>
  <si>
    <r>
      <t>何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</si>
  <si>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</si>
  <si>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黎稻</t>
  </si>
  <si>
    <r>
      <t>山帆投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（海南）有限公司</t>
    </r>
  </si>
  <si>
    <r>
      <t>果酒（含酒精）; 白干酒（中国白酒）; 果酒; 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佐餐酒; 甜酒; 白酒</t>
    </r>
  </si>
  <si>
    <t>BRM 灞汝麦</t>
  </si>
  <si>
    <t>散吞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</si>
  <si>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苹果酒;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</si>
  <si>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素心家道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</si>
  <si>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君惠酒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</si>
  <si>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</si>
  <si>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5624</t>
  </si>
  <si>
    <r>
      <t>杨</t>
    </r>
    <r>
      <rPr>
        <sz val="11"/>
        <color theme="1"/>
        <rFont val="ＭＳ Ｐゴシック"/>
        <family val="3"/>
        <charset val="128"/>
        <scheme val="minor"/>
      </rPr>
      <t>志文</t>
    </r>
  </si>
  <si>
    <r>
      <t>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</t>
    </r>
  </si>
  <si>
    <r>
      <t>蕴</t>
    </r>
    <r>
      <rPr>
        <sz val="11"/>
        <color theme="1"/>
        <rFont val="ＭＳ Ｐゴシック"/>
        <family val="3"/>
        <charset val="128"/>
        <scheme val="minor"/>
      </rPr>
      <t>泰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</si>
  <si>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</si>
  <si>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垂涎玉液-地利</t>
  </si>
  <si>
    <r>
      <t>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</si>
  <si>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HAPPY AMPHORA</t>
  </si>
  <si>
    <r>
      <t>葡然自居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易(南京)有限公司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</si>
  <si>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伏特加酒; 葡萄酒;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</si>
  <si>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燅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</si>
  <si>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州京</t>
    </r>
    <r>
      <rPr>
        <sz val="11"/>
        <color theme="1"/>
        <rFont val="ＭＳ Ｐゴシック"/>
        <family val="3"/>
        <charset val="134"/>
        <scheme val="minor"/>
      </rPr>
      <t>谭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</si>
  <si>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</si>
  <si>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陶公柳</t>
  </si>
  <si>
    <r>
      <t>北京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墨文化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</si>
  <si>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果酒（含酒精）; 白酒</t>
    </r>
  </si>
  <si>
    <t>官薰</t>
  </si>
  <si>
    <t>海南官香堂文化有限公司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</si>
  <si>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高粱酒;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</si>
  <si>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永</t>
    </r>
    <r>
      <rPr>
        <sz val="11"/>
        <color theme="1"/>
        <rFont val="ＭＳ Ｐゴシック"/>
        <family val="3"/>
        <charset val="134"/>
        <scheme val="minor"/>
      </rPr>
      <t>进</t>
    </r>
  </si>
  <si>
    <t>雷雪芬</t>
  </si>
  <si>
    <r>
      <t xml:space="preserve">高粱酒; 清酒（日本米酒）; 食用酒精;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汽酒; 露酒; 开胃酒; 含酒精的气泡水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</si>
  <si>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且到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</si>
  <si>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望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</si>
  <si>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清酒（日本米酒）; 白酒; 果酒（含酒精）</t>
    </r>
  </si>
  <si>
    <t>LATENT HE</t>
  </si>
  <si>
    <r>
      <t>浙江福</t>
    </r>
    <r>
      <rPr>
        <sz val="11"/>
        <color theme="1"/>
        <rFont val="ＭＳ Ｐゴシック"/>
        <family val="3"/>
        <charset val="134"/>
        <scheme val="minor"/>
      </rPr>
      <t>屿</t>
    </r>
    <r>
      <rPr>
        <sz val="11"/>
        <color theme="1"/>
        <rFont val="ＭＳ Ｐゴシック"/>
        <family val="3"/>
        <charset val="128"/>
        <scheme val="minor"/>
      </rPr>
      <t>酒店管理有限公司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</si>
  <si>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米酒; 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</si>
  <si>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宋氏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旺</t>
    </r>
  </si>
  <si>
    <r>
      <t>蒋小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</si>
  <si>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黄酒; 果酒（含酒精）;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</si>
  <si>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潇</t>
    </r>
    <r>
      <rPr>
        <sz val="11"/>
        <color theme="1"/>
        <rFont val="ＭＳ Ｐゴシック"/>
        <family val="3"/>
        <charset val="128"/>
        <scheme val="minor"/>
      </rPr>
      <t>侠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</si>
  <si>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合兵</t>
    </r>
  </si>
  <si>
    <r>
      <t xml:space="preserve">清酒（日本米酒）; 白酒;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威士忌; 葡萄酒; 开胃酒; 果酒（含酒精）</t>
    </r>
  </si>
  <si>
    <t>南山新希望</t>
  </si>
  <si>
    <r>
      <t>卢</t>
    </r>
    <r>
      <rPr>
        <sz val="11"/>
        <color theme="1"/>
        <rFont val="ＭＳ Ｐゴシック"/>
        <family val="3"/>
        <charset val="128"/>
        <scheme val="minor"/>
      </rPr>
      <t>渊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</si>
  <si>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蒸煮提取物（利口酒和烈酒）; 葡萄酒; 威士忌; 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</t>
    </r>
  </si>
  <si>
    <r>
      <t>宗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心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</si>
  <si>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</si>
  <si>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景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露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</si>
  <si>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启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</si>
  <si>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白干酒（中国白酒）; 白酒;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</si>
  <si>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CANHEGU</t>
  </si>
  <si>
    <r>
      <t>严</t>
    </r>
    <r>
      <rPr>
        <sz val="11"/>
        <color theme="1"/>
        <rFont val="ＭＳ Ｐゴシック"/>
        <family val="3"/>
        <charset val="128"/>
        <scheme val="minor"/>
      </rPr>
      <t>玉峰</t>
    </r>
  </si>
  <si>
    <r>
      <t>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果酒（含酒精）; 葡萄酒; 米酒; 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</si>
  <si>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吼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</si>
  <si>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青稞酒; 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</si>
  <si>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听雪韵</t>
  </si>
  <si>
    <r>
      <t>四川听雪酒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</si>
  <si>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苦味酒; 葡萄酒;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</si>
  <si>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天下粮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儒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</si>
  <si>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河北天下粮</t>
    </r>
    <r>
      <rPr>
        <sz val="11"/>
        <color theme="1"/>
        <rFont val="ＭＳ Ｐゴシック"/>
        <family val="3"/>
        <charset val="134"/>
        <scheme val="minor"/>
      </rPr>
      <t>仓酿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</si>
  <si>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</si>
  <si>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万邦湘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</si>
  <si>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昌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</si>
  <si>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</si>
  <si>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r>
      <t>潜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</si>
  <si>
    <t>余呈磊</t>
  </si>
  <si>
    <r>
      <t xml:space="preserve">白酒; 伏特加酒;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</si>
  <si>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伊莱山</t>
  </si>
  <si>
    <r>
      <t>张</t>
    </r>
    <r>
      <rPr>
        <sz val="11"/>
        <color theme="1"/>
        <rFont val="ＭＳ Ｐゴシック"/>
        <family val="3"/>
        <charset val="128"/>
        <scheme val="minor"/>
      </rPr>
      <t>作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</si>
  <si>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 xml:space="preserve">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</si>
  <si>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LATENT FU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</si>
  <si>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</si>
  <si>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观蕴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</si>
  <si>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</si>
  <si>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THE SKY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</si>
  <si>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金九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十酒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</si>
  <si>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米酒; 甜酒; 果酒;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</t>
    </r>
  </si>
  <si>
    <r>
      <t>登</t>
    </r>
    <r>
      <rPr>
        <sz val="11"/>
        <color theme="1"/>
        <rFont val="ＭＳ Ｐゴシック"/>
        <family val="3"/>
        <charset val="134"/>
        <scheme val="minor"/>
      </rPr>
      <t>鳌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</si>
  <si>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初九春</t>
    </r>
    <r>
      <rPr>
        <sz val="11"/>
        <color theme="1"/>
        <rFont val="ＭＳ Ｐゴシック"/>
        <family val="3"/>
        <charset val="134"/>
        <scheme val="minor"/>
      </rPr>
      <t>华贸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</si>
  <si>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</si>
  <si>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俊森</t>
    </r>
  </si>
  <si>
    <r>
      <t>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</si>
  <si>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家琛</t>
  </si>
  <si>
    <t>安徽子雅科技有限公司</t>
  </si>
  <si>
    <r>
      <t xml:space="preserve">开胃酒; 茴香酒（利口酒）;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食用酒精; 白酒; 果酒（含酒精）; 薄荷酒</t>
    </r>
  </si>
  <si>
    <t>封客</t>
  </si>
  <si>
    <r>
      <t>谢</t>
    </r>
    <r>
      <rPr>
        <sz val="11"/>
        <color theme="1"/>
        <rFont val="ＭＳ Ｐゴシック"/>
        <family val="3"/>
        <charset val="128"/>
        <scheme val="minor"/>
      </rPr>
      <t>韶整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</si>
  <si>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</t>
    </r>
  </si>
  <si>
    <t>霸克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</si>
  <si>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霸克生物科技有限公司</t>
    </r>
  </si>
  <si>
    <r>
      <t>米酒; 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食用酒精</t>
    </r>
  </si>
  <si>
    <t>曾族古方</t>
  </si>
  <si>
    <t>曾斌</t>
  </si>
  <si>
    <r>
      <t xml:space="preserve">果酒; 餐后酒（利口酒和烈酒）; 米酒; 白酒; 烈酒;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</t>
    </r>
  </si>
  <si>
    <r>
      <t>莲</t>
    </r>
    <r>
      <rPr>
        <sz val="11"/>
        <color theme="1"/>
        <rFont val="ＭＳ Ｐゴシック"/>
        <family val="3"/>
        <charset val="128"/>
        <scheme val="minor"/>
      </rPr>
      <t>花山彩石溪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</si>
  <si>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文珩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色生</t>
    </r>
    <r>
      <rPr>
        <sz val="11"/>
        <color theme="1"/>
        <rFont val="ＭＳ Ｐゴシック"/>
        <family val="3"/>
        <charset val="134"/>
        <scheme val="minor"/>
      </rPr>
      <t>态发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</si>
  <si>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</si>
  <si>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茭城清</t>
  </si>
  <si>
    <r>
      <t>山西</t>
    </r>
    <r>
      <rPr>
        <sz val="11"/>
        <color theme="1"/>
        <rFont val="ＭＳ Ｐゴシック"/>
        <family val="3"/>
        <charset val="134"/>
        <scheme val="minor"/>
      </rPr>
      <t>庞</t>
    </r>
    <r>
      <rPr>
        <sz val="11"/>
        <color theme="1"/>
        <rFont val="ＭＳ Ｐゴシック"/>
        <family val="3"/>
        <charset val="128"/>
        <scheme val="minor"/>
      </rPr>
      <t>泉酒庄有限公司</t>
    </r>
  </si>
  <si>
    <r>
      <t>黄酒; 白干酒（中国白酒）; 食用酒精; 蒸煮提取物（利口酒和烈酒）;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</si>
  <si>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葆多多</t>
  </si>
  <si>
    <r>
      <t>四川省杰盟人力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源管理有限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</si>
  <si>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青稞酒;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白酒</t>
    </r>
  </si>
  <si>
    <t>曌盅美</t>
  </si>
  <si>
    <r>
      <t>温州弘山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</si>
  <si>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米酒; 露酒; 高粱酒; 黄酒; 汽酒</t>
    </r>
  </si>
  <si>
    <r>
      <t>剑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岁贡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</si>
  <si>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竹</t>
    </r>
    <r>
      <rPr>
        <sz val="11"/>
        <color theme="1"/>
        <rFont val="ＭＳ Ｐゴシック"/>
        <family val="3"/>
        <charset val="134"/>
        <scheme val="minor"/>
      </rPr>
      <t>剑</t>
    </r>
    <r>
      <rPr>
        <sz val="11"/>
        <color theme="1"/>
        <rFont val="ＭＳ Ｐゴシック"/>
        <family val="3"/>
        <charset val="128"/>
        <scheme val="minor"/>
      </rPr>
      <t>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</si>
  <si>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米酒; 白酒; 蒸煮提取物（利口酒和烈酒）;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开胃酒; 青稞酒; 葡萄酒</t>
    </r>
  </si>
  <si>
    <t>柔会</t>
  </si>
  <si>
    <t>胡可超</t>
  </si>
  <si>
    <r>
      <t xml:space="preserve">果酒（含酒精）; 米酒; 烈酒;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</si>
  <si>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李仙君</t>
  </si>
  <si>
    <r>
      <t xml:space="preserve">黄酒;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</t>
    </r>
  </si>
  <si>
    <r>
      <t>赢</t>
    </r>
    <r>
      <rPr>
        <sz val="11"/>
        <color theme="1"/>
        <rFont val="ＭＳ Ｐゴシック"/>
        <family val="3"/>
        <charset val="128"/>
        <scheme val="minor"/>
      </rPr>
      <t>硬</t>
    </r>
  </si>
  <si>
    <r>
      <t xml:space="preserve">食用酒精; 甜酒; 开胃酒; 汽酒; 露酒; 含酒精的气泡水;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高粱酒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</si>
  <si>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粮松</t>
    </r>
  </si>
  <si>
    <r>
      <t>娄嘉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</si>
  <si>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>黄酒; 米酒; 葡萄酒;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果酒; 白酒; 佐餐酒;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</si>
  <si>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宣馥堂</t>
  </si>
  <si>
    <r>
      <t>广州市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养园医学科技有限公司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</si>
  <si>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清酒（日本米酒）</t>
    </r>
  </si>
  <si>
    <t>酒 大庸古</t>
  </si>
  <si>
    <r>
      <t>陈</t>
    </r>
    <r>
      <rPr>
        <sz val="11"/>
        <color theme="1"/>
        <rFont val="ＭＳ Ｐゴシック"/>
        <family val="3"/>
        <charset val="128"/>
        <scheme val="minor"/>
      </rPr>
      <t>生建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</si>
  <si>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青稞酒; 米酒; 柑香酒; 葡萄酒; 苹果酒</t>
    </r>
  </si>
  <si>
    <r>
      <t>BUB不卜</t>
    </r>
    <r>
      <rPr>
        <sz val="11"/>
        <color theme="1"/>
        <rFont val="ＭＳ Ｐゴシック"/>
        <family val="3"/>
        <charset val="134"/>
        <scheme val="minor"/>
      </rPr>
      <t>庐</t>
    </r>
    <r>
      <rPr>
        <sz val="11"/>
        <color theme="1"/>
        <rFont val="ＭＳ Ｐゴシック"/>
        <family val="3"/>
        <charset val="128"/>
        <scheme val="minor"/>
      </rPr>
      <t>LUL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</si>
  <si>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东齐鲁</t>
    </r>
    <r>
      <rPr>
        <sz val="11"/>
        <color theme="1"/>
        <rFont val="ＭＳ Ｐゴシック"/>
        <family val="3"/>
        <charset val="128"/>
        <scheme val="minor"/>
      </rPr>
      <t>生物医学有限公司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</si>
  <si>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杜松子酒;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苦味酒; 水果汽酒; 含酒精的气泡水; 果酒（含酒精）; 开胃酒; 薄荷酒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</si>
  <si>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山之</t>
    </r>
    <r>
      <rPr>
        <sz val="11"/>
        <color theme="1"/>
        <rFont val="ＭＳ Ｐゴシック"/>
        <family val="3"/>
        <charset val="134"/>
        <scheme val="minor"/>
      </rPr>
      <t>巅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</si>
  <si>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阴市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山春酒厂</t>
    </r>
  </si>
  <si>
    <r>
      <t>威士忌;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黄酒; 白酒</t>
    </r>
  </si>
  <si>
    <t>BASISTEM</t>
  </si>
  <si>
    <r>
      <t>英国</t>
    </r>
    <r>
      <rPr>
        <sz val="11"/>
        <color theme="1"/>
        <rFont val="ＭＳ Ｐゴシック"/>
        <family val="3"/>
        <charset val="134"/>
        <scheme val="minor"/>
      </rPr>
      <t>亚历</t>
    </r>
    <r>
      <rPr>
        <sz val="11"/>
        <color theme="1"/>
        <rFont val="ＭＳ Ｐゴシック"/>
        <family val="3"/>
        <charset val="128"/>
        <scheme val="minor"/>
      </rPr>
      <t>克斯•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吉国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</si>
  <si>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蜂蜜酒;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</si>
  <si>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御府黄</t>
    </r>
    <r>
      <rPr>
        <sz val="11"/>
        <color theme="1"/>
        <rFont val="ＭＳ Ｐゴシック"/>
        <family val="3"/>
        <charset val="134"/>
        <scheme val="minor"/>
      </rPr>
      <t>龙贡</t>
    </r>
  </si>
  <si>
    <r>
      <t>岳池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博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</si>
  <si>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白酒; 果酒; 烈酒; 黄酒; 食用酒精; 葡萄酒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</si>
  <si>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节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</si>
  <si>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晓爱</t>
    </r>
  </si>
  <si>
    <r>
      <t>甜果酒;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白酒</t>
    </r>
  </si>
  <si>
    <r>
      <t>朋</t>
    </r>
    <r>
      <rPr>
        <sz val="11"/>
        <color theme="1"/>
        <rFont val="ＭＳ Ｐゴシック"/>
        <family val="3"/>
        <charset val="134"/>
        <scheme val="minor"/>
      </rPr>
      <t>门</t>
    </r>
  </si>
  <si>
    <t>彭智</t>
  </si>
  <si>
    <r>
      <t>黄酒;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清酒</t>
    </r>
  </si>
  <si>
    <r>
      <t>一笑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</si>
  <si>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四川承原文化旅游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</si>
  <si>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清酒（日本米酒）;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米酒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</si>
  <si>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德</t>
    </r>
  </si>
  <si>
    <r>
      <t xml:space="preserve">高粱酒; 清酒; 葡萄酒; 米酒; 黄酒; 露酒; 果酒（含酒精）;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</si>
  <si>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云阿个年代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</si>
  <si>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州欣大牧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</si>
  <si>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果酒; 高粱酒; 白酒; 开胃酒; 甜酒; 蜂蜜酒;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</si>
  <si>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柳</t>
    </r>
    <r>
      <rPr>
        <sz val="11"/>
        <color theme="1"/>
        <rFont val="ＭＳ Ｐゴシック"/>
        <family val="3"/>
        <charset val="134"/>
        <scheme val="minor"/>
      </rPr>
      <t>莺</t>
    </r>
    <r>
      <rPr>
        <sz val="11"/>
        <color theme="1"/>
        <rFont val="ＭＳ Ｐゴシック"/>
        <family val="3"/>
        <charset val="128"/>
        <scheme val="minor"/>
      </rPr>
      <t>一</t>
    </r>
    <r>
      <rPr>
        <sz val="11"/>
        <color theme="1"/>
        <rFont val="ＭＳ Ｐゴシック"/>
        <family val="3"/>
        <charset val="134"/>
        <scheme val="minor"/>
      </rPr>
      <t>绿</t>
    </r>
  </si>
  <si>
    <r>
      <t>中泰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夏（北京）影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</si>
  <si>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黄酒; 威士忌; 利口酒;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</si>
  <si>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XQ</t>
  </si>
  <si>
    <r>
      <t>珠海卓高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</si>
  <si>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黄酒; 白酒; 混合威士忌酒;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</si>
  <si>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茶丫</t>
    </r>
    <r>
      <rPr>
        <sz val="11"/>
        <color theme="1"/>
        <rFont val="ＭＳ Ｐゴシック"/>
        <family val="3"/>
        <charset val="134"/>
        <scheme val="minor"/>
      </rPr>
      <t>头</t>
    </r>
  </si>
  <si>
    <t>刘金金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</si>
  <si>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蜂蜜酒;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</si>
  <si>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灵魂之神公</t>
    </r>
    <r>
      <rPr>
        <sz val="11"/>
        <color theme="1"/>
        <rFont val="ＭＳ Ｐゴシック"/>
        <family val="3"/>
        <charset val="134"/>
        <scheme val="minor"/>
      </rPr>
      <t>鸡</t>
    </r>
  </si>
  <si>
    <r>
      <t>广州市嘉朋企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</si>
  <si>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葡萄酒; 蒸煮提取物（利口酒和烈酒）; 米酒; 黄酒;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白酒; 汽酒</t>
    </r>
  </si>
  <si>
    <t>PHENIMONTE</t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</si>
  <si>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黄酒; 白酒; 米酒; 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</si>
  <si>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红脸</t>
    </r>
    <r>
      <rPr>
        <sz val="11"/>
        <color theme="1"/>
        <rFont val="ＭＳ Ｐゴシック"/>
        <family val="3"/>
        <charset val="128"/>
        <scheme val="minor"/>
      </rPr>
      <t>蛋儿</t>
    </r>
  </si>
  <si>
    <r>
      <t>安徽九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</si>
  <si>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葡萄酒; 白酒;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</si>
  <si>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山五</t>
    </r>
    <r>
      <rPr>
        <sz val="11"/>
        <color theme="1"/>
        <rFont val="ＭＳ Ｐゴシック"/>
        <family val="3"/>
        <charset val="134"/>
        <scheme val="minor"/>
      </rPr>
      <t>绝</t>
    </r>
    <r>
      <rPr>
        <sz val="11"/>
        <color theme="1"/>
        <rFont val="ＭＳ Ｐゴシック"/>
        <family val="3"/>
        <charset val="128"/>
        <scheme val="minor"/>
      </rPr>
      <t>之</t>
    </r>
    <r>
      <rPr>
        <sz val="11"/>
        <color theme="1"/>
        <rFont val="ＭＳ Ｐゴシック"/>
        <family val="3"/>
        <charset val="134"/>
        <scheme val="minor"/>
      </rPr>
      <t>巅</t>
    </r>
  </si>
  <si>
    <r>
      <t xml:space="preserve">果酒（含酒精）;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苹果酒;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</si>
  <si>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t>开心暖城</t>
  </si>
  <si>
    <r>
      <t>东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区北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意中心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</si>
  <si>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白葡萄酒; 果酒（含酒精）; 麦芽威士忌; 白酒;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</si>
  <si>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诏</t>
    </r>
  </si>
  <si>
    <r>
      <t>杭州酒滴滴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</si>
  <si>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烈酒; 高梁酒;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清酒; 黄酒; 葡萄酒</t>
    </r>
  </si>
  <si>
    <t>御三角</t>
  </si>
  <si>
    <r>
      <t>杭州心</t>
    </r>
    <r>
      <rPr>
        <sz val="11"/>
        <color theme="1"/>
        <rFont val="ＭＳ Ｐゴシック"/>
        <family val="3"/>
        <charset val="134"/>
        <scheme val="minor"/>
      </rPr>
      <t>觅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</si>
  <si>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果酒（含酒精）;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</si>
  <si>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龄</t>
    </r>
    <r>
      <rPr>
        <sz val="11"/>
        <color theme="1"/>
        <rFont val="ＭＳ Ｐゴシック"/>
        <family val="3"/>
        <charset val="128"/>
        <scheme val="minor"/>
      </rPr>
      <t>田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</si>
  <si>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立昌</t>
    </r>
  </si>
  <si>
    <t>清酒; 食用酒精; 黄酒; 开胃酒; 甜酒; 米酒; 葡萄酒; 果酒; 汽酒; 白酒</t>
  </si>
  <si>
    <r>
      <t>越</t>
    </r>
    <r>
      <rPr>
        <sz val="11"/>
        <color theme="1"/>
        <rFont val="ＭＳ Ｐゴシック"/>
        <family val="3"/>
        <charset val="134"/>
        <scheme val="minor"/>
      </rPr>
      <t>铸</t>
    </r>
  </si>
  <si>
    <r>
      <t>浙江澎湃酒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</si>
  <si>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甘蔗制烈酒;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</si>
  <si>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陶融春曲</t>
  </si>
  <si>
    <r>
      <t>河南仰韶酒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</si>
  <si>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</si>
  <si>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爱满贯</t>
  </si>
  <si>
    <r>
      <t>杨</t>
    </r>
    <r>
      <rPr>
        <sz val="11"/>
        <color theme="1"/>
        <rFont val="ＭＳ Ｐゴシック"/>
        <family val="3"/>
        <charset val="128"/>
        <scheme val="minor"/>
      </rPr>
      <t>广潮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</si>
  <si>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</si>
  <si>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汉仪创</t>
    </r>
    <r>
      <rPr>
        <sz val="11"/>
        <color theme="1"/>
        <rFont val="ＭＳ Ｐゴシック"/>
        <family val="3"/>
        <charset val="128"/>
        <scheme val="minor"/>
      </rPr>
      <t>新科技股份有限公司</t>
    </r>
  </si>
  <si>
    <r>
      <t>草莓酒;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果酒（含酒精）; 葡萄酒;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</si>
  <si>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山一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</si>
  <si>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葡萄酒; 威士忌; 果酒（含酒精）;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</si>
  <si>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弦羽行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</si>
  <si>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</t>
    </r>
  </si>
  <si>
    <t>CARMEN GOLDFINGER</t>
  </si>
  <si>
    <t>黄丕崇</t>
  </si>
  <si>
    <r>
      <t>果酒（含酒精）;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</si>
  <si>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酩心</t>
    </r>
  </si>
  <si>
    <t>王志勇</t>
  </si>
  <si>
    <r>
      <t xml:space="preserve">清酒（日本米酒）; 葡萄酒; 开胃酒; 烈酒;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</si>
  <si>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毅江山</t>
  </si>
  <si>
    <t>李浩浩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</si>
  <si>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</si>
  <si>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映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酒作坊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</si>
  <si>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白干酒（中国白酒）; 五加皮酒（中国混合烈酒）;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果酒; 黄酒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</si>
  <si>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生活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味 FARM FRESHNESS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</si>
  <si>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玄通信技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</si>
  <si>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白酒; 开胃酒; 伏特加酒;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</si>
  <si>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德斟台</t>
  </si>
  <si>
    <r>
      <t xml:space="preserve">高粱酒; 果酒（含酒精）; 黄酒;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烈酒; 葡萄酒; 清酒</t>
    </r>
  </si>
  <si>
    <t>虎山湖</t>
  </si>
  <si>
    <r>
      <t>张</t>
    </r>
    <r>
      <rPr>
        <sz val="11"/>
        <color theme="1"/>
        <rFont val="ＭＳ Ｐゴシック"/>
        <family val="3"/>
        <charset val="128"/>
        <scheme val="minor"/>
      </rPr>
      <t>冠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</si>
  <si>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汽酒; 白酒; 蜂蜜酒; 米酒; 露酒</t>
    </r>
  </si>
  <si>
    <t>五牡阳花</t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</si>
  <si>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追康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</si>
  <si>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蒸煮提取物（利口酒和烈酒）</t>
    </r>
  </si>
  <si>
    <r>
      <t>四川天狼酒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</si>
  <si>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开胃酒;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</si>
  <si>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和窖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</si>
  <si>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州万酌酒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</si>
  <si>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</t>
    </r>
  </si>
  <si>
    <r>
      <t>耿</t>
    </r>
    <r>
      <rPr>
        <sz val="11"/>
        <color theme="1"/>
        <rFont val="ＭＳ Ｐゴシック"/>
        <family val="3"/>
        <charset val="134"/>
        <scheme val="minor"/>
      </rPr>
      <t>绛</t>
    </r>
    <r>
      <rPr>
        <sz val="11"/>
        <color theme="1"/>
        <rFont val="ＭＳ Ｐゴシック"/>
        <family val="3"/>
        <charset val="128"/>
        <scheme val="minor"/>
      </rPr>
      <t>淳</t>
    </r>
  </si>
  <si>
    <r>
      <t>齐晓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</si>
  <si>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高粱酒</t>
    </r>
  </si>
  <si>
    <r>
      <t>珑骧</t>
    </r>
    <r>
      <rPr>
        <sz val="11"/>
        <color theme="1"/>
        <rFont val="ＭＳ Ｐゴシック"/>
        <family val="3"/>
        <charset val="128"/>
        <scheme val="minor"/>
      </rPr>
      <t>匠台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</si>
  <si>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州藜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</si>
  <si>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开胃酒</t>
    </r>
  </si>
  <si>
    <r>
      <t>零零</t>
    </r>
    <r>
      <rPr>
        <sz val="11"/>
        <color theme="1"/>
        <rFont val="ＭＳ Ｐゴシック"/>
        <family val="3"/>
        <charset val="134"/>
        <scheme val="minor"/>
      </rPr>
      <t>飘</t>
    </r>
  </si>
  <si>
    <t>湖北硒庄王食品有限公司</t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</si>
  <si>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青稞酒; 葡萄酒; 果酒（含酒精）; 朗姆酒; 露酒</t>
    </r>
  </si>
  <si>
    <t>北黔山</t>
  </si>
  <si>
    <r>
      <t>松桃恒瑞房地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</si>
  <si>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</si>
  <si>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商佳</t>
    </r>
    <r>
      <rPr>
        <sz val="11"/>
        <color theme="1"/>
        <rFont val="ＭＳ Ｐゴシック"/>
        <family val="3"/>
        <charset val="134"/>
        <scheme val="minor"/>
      </rPr>
      <t>酿贸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</si>
  <si>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</si>
  <si>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响地</t>
    </r>
    <r>
      <rPr>
        <sz val="11"/>
        <color theme="1"/>
        <rFont val="ＭＳ Ｐゴシック"/>
        <family val="3"/>
        <charset val="134"/>
        <scheme val="minor"/>
      </rPr>
      <t>带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</si>
  <si>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德鑫隆商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</si>
  <si>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食用酒精; 果酒（含酒精）; 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开胃酒</t>
    </r>
  </si>
  <si>
    <r>
      <t>江</t>
    </r>
    <r>
      <rPr>
        <sz val="11"/>
        <color theme="1"/>
        <rFont val="ＭＳ Ｐゴシック"/>
        <family val="3"/>
        <charset val="129"/>
        <scheme val="minor"/>
      </rPr>
      <t>滘</t>
    </r>
  </si>
  <si>
    <r>
      <t xml:space="preserve">白酒; 开胃酒;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</si>
  <si>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r>
      <t>坝</t>
    </r>
    <r>
      <rPr>
        <sz val="11"/>
        <color theme="1"/>
        <rFont val="ＭＳ Ｐゴシック"/>
        <family val="3"/>
        <charset val="128"/>
        <scheme val="minor"/>
      </rPr>
      <t>吉</t>
    </r>
    <r>
      <rPr>
        <sz val="11"/>
        <color theme="1"/>
        <rFont val="ＭＳ Ｐゴシック"/>
        <family val="3"/>
        <charset val="134"/>
        <scheme val="minor"/>
      </rPr>
      <t>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</si>
  <si>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秀侠</t>
    </r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</si>
  <si>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</si>
  <si>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山宝</t>
    </r>
    <r>
      <rPr>
        <sz val="11"/>
        <color theme="1"/>
        <rFont val="ＭＳ Ｐゴシック"/>
        <family val="3"/>
        <charset val="134"/>
        <scheme val="minor"/>
      </rPr>
      <t>莲华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</si>
  <si>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利口酒;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黄酒; 果酒（含酒精）;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</si>
  <si>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安任建荣</t>
  </si>
  <si>
    <r>
      <t>延安安特建荣</t>
    </r>
    <r>
      <rPr>
        <sz val="11"/>
        <color theme="1"/>
        <rFont val="ＭＳ Ｐゴシック"/>
        <family val="3"/>
        <charset val="134"/>
        <scheme val="minor"/>
      </rPr>
      <t>营销</t>
    </r>
    <r>
      <rPr>
        <sz val="11"/>
        <color theme="1"/>
        <rFont val="ＭＳ Ｐゴシック"/>
        <family val="3"/>
        <charset val="128"/>
        <scheme val="minor"/>
      </rPr>
      <t>策划有限公司</t>
    </r>
  </si>
  <si>
    <r>
      <t>葡萄酒; 伏特加酒; 黄酒;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米酒;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</si>
  <si>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男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爵艾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古堡</t>
    </r>
  </si>
  <si>
    <r>
      <t>深圳格帝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</si>
  <si>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利口酒; 威士忌; 起泡白葡萄酒;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</si>
  <si>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皇帝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窑洞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</si>
  <si>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合科技有限公司</t>
    </r>
  </si>
  <si>
    <r>
      <t>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松叶酒;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白酒; 烈酒; 甜酒; 刺五加酒;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</t>
    </r>
  </si>
  <si>
    <t>翔坤盛元</t>
  </si>
  <si>
    <r>
      <t>河北</t>
    </r>
    <r>
      <rPr>
        <sz val="11"/>
        <color theme="1"/>
        <rFont val="ＭＳ Ｐゴシック"/>
        <family val="3"/>
        <charset val="134"/>
        <scheme val="minor"/>
      </rPr>
      <t>闲</t>
    </r>
    <r>
      <rPr>
        <sz val="11"/>
        <color theme="1"/>
        <rFont val="ＭＳ Ｐゴシック"/>
        <family val="3"/>
        <charset val="128"/>
        <scheme val="minor"/>
      </rPr>
      <t>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</si>
  <si>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白酒</t>
    </r>
  </si>
  <si>
    <r>
      <t>刘国</t>
    </r>
    <r>
      <rPr>
        <sz val="11"/>
        <color theme="1"/>
        <rFont val="ＭＳ Ｐゴシック"/>
        <family val="3"/>
        <charset val="134"/>
        <scheme val="minor"/>
      </rPr>
      <t>栋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</si>
  <si>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威士忌; 开胃酒</t>
    </r>
  </si>
  <si>
    <r>
      <t>荷田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座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</si>
  <si>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游毓硒酒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</si>
  <si>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</t>
    </r>
  </si>
  <si>
    <t>探露</t>
  </si>
  <si>
    <r>
      <t>中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（福建）投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</si>
  <si>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</si>
  <si>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魔法小八 做AI的主人</t>
  </si>
  <si>
    <r>
      <t>北京思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魔法教育科技有限公司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</si>
  <si>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青稞酒; 薄荷酒; 果酒（含酒精）; 开胃酒</t>
    </r>
  </si>
  <si>
    <r>
      <t>江雨</t>
    </r>
    <r>
      <rPr>
        <sz val="11"/>
        <color theme="1"/>
        <rFont val="ＭＳ Ｐゴシック"/>
        <family val="3"/>
        <charset val="134"/>
        <scheme val="minor"/>
      </rPr>
      <t>飞</t>
    </r>
  </si>
  <si>
    <t>麦北江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</si>
  <si>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米酒; 青稞酒; 汽酒; 食用酒精; 伏特加酒;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</si>
  <si>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精擎</t>
  </si>
  <si>
    <r>
      <t>张权</t>
    </r>
    <r>
      <rPr>
        <sz val="11"/>
        <color theme="1"/>
        <rFont val="ＭＳ Ｐゴシック"/>
        <family val="3"/>
        <charset val="128"/>
        <scheme val="minor"/>
      </rPr>
      <t>修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</si>
  <si>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清酒（日本米酒）;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</si>
  <si>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嘉茂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</si>
  <si>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安徽万茂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</si>
  <si>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食用酒精; 果酒（含酒精）; 甜酒;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</si>
  <si>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山潭王子</t>
    </r>
  </si>
  <si>
    <r>
      <t>泰安市泰山日出酒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</si>
  <si>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</si>
  <si>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r>
      <t>雅丹秘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</si>
  <si>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莞市百象城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</si>
  <si>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白干酒（中国白酒）; 威士忌</t>
    </r>
  </si>
  <si>
    <t>香世界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</si>
  <si>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香世界科技有限公司</t>
    </r>
  </si>
  <si>
    <r>
      <t xml:space="preserve">白酒;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</si>
  <si>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嘉邑香</t>
  </si>
  <si>
    <r>
      <t>烟台金色葡园酒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</si>
  <si>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朗姆酒; 伏特加酒;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葡萄酒; 威士忌;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</si>
  <si>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 xml:space="preserve">米酒; 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利口酒;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青梅酒</t>
    </r>
  </si>
  <si>
    <r>
      <t>青食日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</si>
  <si>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徐州市</t>
    </r>
    <r>
      <rPr>
        <sz val="11"/>
        <color theme="1"/>
        <rFont val="ＭＳ Ｐゴシック"/>
        <family val="3"/>
        <charset val="134"/>
        <scheme val="minor"/>
      </rPr>
      <t>龙头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</si>
  <si>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果酒（含酒精）; 葡萄酒; 黄酒; 清酒（日本米酒）</t>
    </r>
  </si>
  <si>
    <t>酌奕往</t>
  </si>
  <si>
    <r>
      <t>广州丰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茂品商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</si>
  <si>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米酒; 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梅酒; 果酒</t>
    </r>
  </si>
  <si>
    <t>仁厚云天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</si>
  <si>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阳谷中信</t>
    </r>
    <r>
      <rPr>
        <sz val="11"/>
        <color theme="1"/>
        <rFont val="ＭＳ Ｐゴシック"/>
        <family val="3"/>
        <charset val="134"/>
        <scheme val="minor"/>
      </rPr>
      <t>电缆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</si>
  <si>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米酒; 白酒; 黄酒;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</si>
  <si>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狮</t>
    </r>
    <r>
      <rPr>
        <sz val="11"/>
        <color theme="1"/>
        <rFont val="ＭＳ Ｐゴシック"/>
        <family val="3"/>
        <charset val="128"/>
        <scheme val="minor"/>
      </rPr>
      <t>城大运河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</si>
  <si>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忠旺</t>
    </r>
  </si>
  <si>
    <r>
      <t>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白酒; 食用酒精; 果酒（含酒精）; 利口酒</t>
    </r>
  </si>
  <si>
    <r>
      <t>北京中楷文化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</si>
  <si>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果酒（含酒精）; 白酒; 开胃酒; 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蜂蜜酒</t>
    </r>
  </si>
  <si>
    <t>鄂西施</t>
  </si>
  <si>
    <r>
      <t>严</t>
    </r>
    <r>
      <rPr>
        <sz val="11"/>
        <color theme="1"/>
        <rFont val="ＭＳ Ｐゴシック"/>
        <family val="3"/>
        <charset val="128"/>
        <scheme val="minor"/>
      </rPr>
      <t>三全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</si>
  <si>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威士忌; 清酒（日本米酒）; 白酒; 蜂蜜酒</t>
    </r>
  </si>
  <si>
    <r>
      <t>衡渊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</si>
  <si>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t>李波</t>
  </si>
  <si>
    <r>
      <t xml:space="preserve">米酒;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</si>
  <si>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溧香</t>
  </si>
  <si>
    <t>李旭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</si>
  <si>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</si>
  <si>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耀池</t>
    </r>
  </si>
  <si>
    <r>
      <t>董</t>
    </r>
    <r>
      <rPr>
        <sz val="11"/>
        <color theme="1"/>
        <rFont val="ＭＳ Ｐゴシック"/>
        <family val="3"/>
        <charset val="134"/>
        <scheme val="minor"/>
      </rPr>
      <t>伦镜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</si>
  <si>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餐后酒（利口酒和烈酒）</t>
    </r>
  </si>
  <si>
    <t>仁禾天露</t>
  </si>
  <si>
    <t>北京今日五洲酒店管理有限公司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</si>
  <si>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白干酒（中国白酒）;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</si>
  <si>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菲尼瓦</t>
  </si>
  <si>
    <r>
      <t>许</t>
    </r>
    <r>
      <rPr>
        <sz val="11"/>
        <color theme="1"/>
        <rFont val="ＭＳ Ｐゴシック"/>
        <family val="3"/>
        <charset val="128"/>
        <scheme val="minor"/>
      </rPr>
      <t>茂州</t>
    </r>
  </si>
  <si>
    <r>
      <t>黄酒; 高粱酒; 伏特加酒; 白酒; 葡萄酒;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</si>
  <si>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西虎世家</t>
  </si>
  <si>
    <r>
      <t>马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</si>
  <si>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</si>
  <si>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t>苗菲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</si>
  <si>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市天邦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</si>
  <si>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果酒;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</si>
  <si>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华贵</t>
    </r>
    <r>
      <rPr>
        <sz val="11"/>
        <color theme="1"/>
        <rFont val="ＭＳ Ｐゴシック"/>
        <family val="3"/>
        <charset val="128"/>
        <scheme val="minor"/>
      </rPr>
      <t>酒人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</si>
  <si>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</t>
    </r>
    <r>
      <rPr>
        <sz val="11"/>
        <color theme="1"/>
        <rFont val="ＭＳ Ｐゴシック"/>
        <family val="3"/>
        <charset val="134"/>
        <scheme val="minor"/>
      </rPr>
      <t>凯硕</t>
    </r>
    <r>
      <rPr>
        <sz val="11"/>
        <color theme="1"/>
        <rFont val="ＭＳ Ｐゴシック"/>
        <family val="3"/>
        <charset val="128"/>
        <scheme val="minor"/>
      </rPr>
      <t>智能科技有限公司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</si>
  <si>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利口酒;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</t>
    </r>
  </si>
  <si>
    <t>AOBIANGZHUANG MASTER</t>
  </si>
  <si>
    <r>
      <t>陈</t>
    </r>
    <r>
      <rPr>
        <sz val="11"/>
        <color theme="1"/>
        <rFont val="ＭＳ Ｐゴシック"/>
        <family val="3"/>
        <charset val="128"/>
        <scheme val="minor"/>
      </rPr>
      <t>美娟</t>
    </r>
  </si>
  <si>
    <r>
      <t>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米酒; 葡萄酒;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</si>
  <si>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序</t>
    </r>
    <r>
      <rPr>
        <sz val="11"/>
        <color theme="1"/>
        <rFont val="ＭＳ Ｐゴシック"/>
        <family val="3"/>
        <charset val="134"/>
        <scheme val="minor"/>
      </rPr>
      <t>载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</si>
  <si>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蒸煮提取物（利口酒和烈酒）; 果酒（含酒精）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</si>
  <si>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姻</t>
    </r>
  </si>
  <si>
    <t>娄少雨</t>
  </si>
  <si>
    <r>
      <t>佐餐酒; 汽酒;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米酒;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</si>
  <si>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蒙多格</t>
  </si>
  <si>
    <t>王振州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</si>
  <si>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高粱酒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</si>
  <si>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花</t>
    </r>
    <r>
      <rPr>
        <sz val="11"/>
        <color theme="1"/>
        <rFont val="ＭＳ Ｐゴシック"/>
        <family val="3"/>
        <charset val="134"/>
        <scheme val="minor"/>
      </rPr>
      <t>绣</t>
    </r>
    <r>
      <rPr>
        <sz val="11"/>
        <color theme="1"/>
        <rFont val="ＭＳ Ｐゴシック"/>
        <family val="3"/>
        <charset val="128"/>
        <scheme val="minor"/>
      </rPr>
      <t>草</t>
    </r>
  </si>
  <si>
    <r>
      <t>亳州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花</t>
    </r>
    <r>
      <rPr>
        <sz val="11"/>
        <color theme="1"/>
        <rFont val="ＭＳ Ｐゴシック"/>
        <family val="3"/>
        <charset val="134"/>
        <scheme val="minor"/>
      </rPr>
      <t>绣</t>
    </r>
    <r>
      <rPr>
        <sz val="11"/>
        <color theme="1"/>
        <rFont val="ＭＳ Ｐゴシック"/>
        <family val="3"/>
        <charset val="128"/>
        <scheme val="minor"/>
      </rPr>
      <t>草生物科技有限公司</t>
    </r>
  </si>
  <si>
    <r>
      <t xml:space="preserve">白酒; 高粱酒;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伏特加酒;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</si>
  <si>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祥居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</si>
  <si>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祥居餐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</si>
  <si>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苹果酒;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</si>
  <si>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赤派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</si>
  <si>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州赤派酒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</si>
  <si>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高粱酒; 威士忌; 白酒</t>
    </r>
  </si>
  <si>
    <t>香黔妃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</si>
  <si>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</si>
  <si>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李冀</t>
  </si>
  <si>
    <t>游道福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</si>
  <si>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利口酒</t>
    </r>
  </si>
  <si>
    <r>
      <t>米</t>
    </r>
    <r>
      <rPr>
        <sz val="11"/>
        <color theme="1"/>
        <rFont val="ＭＳ Ｐゴシック"/>
        <family val="3"/>
        <charset val="134"/>
        <scheme val="minor"/>
      </rPr>
      <t>岚</t>
    </r>
  </si>
  <si>
    <r>
      <t>南京圈圈网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</si>
  <si>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日式甜米酒;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葡萄酒; 清酒; 果酒（含酒精）; 米酒;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白酒; 黄酒</t>
    </r>
  </si>
  <si>
    <r>
      <t>能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</si>
  <si>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河南来</t>
    </r>
    <r>
      <rPr>
        <sz val="11"/>
        <color theme="1"/>
        <rFont val="ＭＳ Ｐゴシック"/>
        <family val="3"/>
        <charset val="134"/>
        <scheme val="minor"/>
      </rPr>
      <t>骑</t>
    </r>
    <r>
      <rPr>
        <sz val="11"/>
        <color theme="1"/>
        <rFont val="ＭＳ Ｐゴシック"/>
        <family val="3"/>
        <charset val="128"/>
        <scheme val="minor"/>
      </rPr>
      <t>哦科技有限公司</t>
    </r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</si>
  <si>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葡萄酒; 甜果酒; 黄酒;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</si>
  <si>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信界</t>
  </si>
  <si>
    <r>
      <t>韩锦</t>
    </r>
    <r>
      <rPr>
        <sz val="11"/>
        <color theme="1"/>
        <rFont val="ＭＳ Ｐゴシック"/>
        <family val="3"/>
        <charset val="128"/>
        <scheme val="minor"/>
      </rPr>
      <t>壮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</si>
  <si>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</t>
    </r>
  </si>
  <si>
    <r>
      <t>桂</t>
    </r>
    <r>
      <rPr>
        <sz val="11"/>
        <color theme="1"/>
        <rFont val="ＭＳ Ｐゴシック"/>
        <family val="3"/>
        <charset val="134"/>
        <scheme val="minor"/>
      </rPr>
      <t>卢</t>
    </r>
  </si>
  <si>
    <r>
      <t>广西横</t>
    </r>
    <r>
      <rPr>
        <sz val="11"/>
        <color theme="1"/>
        <rFont val="ＭＳ Ｐゴシック"/>
        <family val="3"/>
        <charset val="134"/>
        <scheme val="minor"/>
      </rPr>
      <t>县马</t>
    </r>
    <r>
      <rPr>
        <sz val="11"/>
        <color theme="1"/>
        <rFont val="ＭＳ Ｐゴシック"/>
        <family val="3"/>
        <charset val="128"/>
        <scheme val="minor"/>
      </rPr>
      <t>岭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仁茶具厂</t>
    </r>
  </si>
  <si>
    <r>
      <t>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白酒;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白干酒（中国白酒）;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</si>
  <si>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r>
      <t>铭</t>
    </r>
    <r>
      <rPr>
        <sz val="11"/>
        <color theme="1"/>
        <rFont val="ＭＳ Ｐゴシック"/>
        <family val="3"/>
        <charset val="128"/>
        <scheme val="minor"/>
      </rPr>
      <t>家明仕</t>
    </r>
  </si>
  <si>
    <r>
      <t>魏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</si>
  <si>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</si>
  <si>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葚奥</t>
  </si>
  <si>
    <r>
      <t>代雪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</si>
  <si>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开胃酒; 甜果酒; 葡萄酒; 果酒;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</si>
  <si>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节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</si>
  <si>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甜果酒; 青稞酒; 白干酒（中国白酒）;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</si>
  <si>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</si>
  <si>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州耀</t>
    </r>
    <r>
      <rPr>
        <sz val="11"/>
        <color theme="1"/>
        <rFont val="ＭＳ Ｐゴシック"/>
        <family val="3"/>
        <charset val="134"/>
        <scheme val="minor"/>
      </rPr>
      <t>创实业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</si>
  <si>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汽酒; 黄酒; 米酒; 含酒精的气泡水;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</si>
  <si>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r>
      <t>安盛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</si>
  <si>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 xml:space="preserve">清酒; 黄酒;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利口酒; 葡萄酒</t>
    </r>
  </si>
  <si>
    <t>HOENSHOF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</si>
  <si>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南海数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</si>
  <si>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黄酒; 威士忌; 白酒; 开胃酒</t>
    </r>
  </si>
  <si>
    <t>旭糯</t>
  </si>
  <si>
    <t>刘玉波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</si>
  <si>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米酒; 甜酒; 黄酒; 开胃酒; 威士忌;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</si>
  <si>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狼姐百拼</t>
  </si>
  <si>
    <t>付菲菲</t>
  </si>
  <si>
    <r>
      <t>米酒; 果酒（含酒精）; 清酒; 利口酒;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</si>
  <si>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清酒</t>
    </r>
  </si>
  <si>
    <r>
      <t>路易普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曼</t>
    </r>
  </si>
  <si>
    <r>
      <t>蓬莱市名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</si>
  <si>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果酒（含酒精）;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茴芹酒（利口酒）; 威士忌; 苹果酒; 利口酒; 茴香酒（利口酒）;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</si>
  <si>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ASLAN</t>
  </si>
  <si>
    <r>
      <t>内蒙古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程</t>
    </r>
    <r>
      <rPr>
        <sz val="11"/>
        <color theme="1"/>
        <rFont val="ＭＳ Ｐゴシック"/>
        <family val="3"/>
        <charset val="134"/>
        <scheme val="minor"/>
      </rPr>
      <t>检测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</si>
  <si>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果酒; 伏特加酒;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白酒; 葡萄酒</t>
    </r>
  </si>
  <si>
    <r>
      <t>襄</t>
    </r>
    <r>
      <rPr>
        <sz val="11"/>
        <color theme="1"/>
        <rFont val="ＭＳ Ｐゴシック"/>
        <family val="3"/>
        <charset val="134"/>
        <scheme val="minor"/>
      </rPr>
      <t>谊</t>
    </r>
  </si>
  <si>
    <r>
      <t xml:space="preserve">苹果酒; 葡萄酒; 朗姆酒; 烈酒; 利口酒;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</si>
  <si>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r>
      <t>盒果日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</si>
  <si>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冬生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</si>
  <si>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</si>
  <si>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圣源盛鼎</t>
  </si>
  <si>
    <r>
      <t>冯丽</t>
    </r>
    <r>
      <rPr>
        <sz val="11"/>
        <color theme="1"/>
        <rFont val="ＭＳ Ｐゴシック"/>
        <family val="3"/>
        <charset val="128"/>
        <scheme val="minor"/>
      </rPr>
      <t>倩</t>
    </r>
  </si>
  <si>
    <r>
      <t>果酒（含酒精）; 黄酒; 蒸煮提取物（利口酒和烈酒）;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</si>
  <si>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窝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</si>
  <si>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</si>
  <si>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白酒</t>
    </r>
  </si>
  <si>
    <r>
      <t>北面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</si>
  <si>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湖北元潺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</si>
  <si>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葡萄酒</t>
    </r>
  </si>
  <si>
    <r>
      <t>水</t>
    </r>
    <r>
      <rPr>
        <sz val="11"/>
        <color theme="1"/>
        <rFont val="ＭＳ Ｐゴシック"/>
        <family val="3"/>
        <charset val="134"/>
        <scheme val="minor"/>
      </rPr>
      <t>浃</t>
    </r>
    <r>
      <rPr>
        <sz val="11"/>
        <color theme="1"/>
        <rFont val="ＭＳ Ｐゴシック"/>
        <family val="3"/>
        <charset val="128"/>
        <scheme val="minor"/>
      </rPr>
      <t>丼（水</t>
    </r>
    <r>
      <rPr>
        <sz val="11"/>
        <color theme="1"/>
        <rFont val="ＭＳ Ｐゴシック"/>
        <family val="3"/>
        <charset val="134"/>
        <scheme val="minor"/>
      </rPr>
      <t>浃</t>
    </r>
    <r>
      <rPr>
        <sz val="11"/>
        <color theme="1"/>
        <rFont val="ＭＳ Ｐゴシック"/>
        <family val="3"/>
        <charset val="128"/>
        <scheme val="minor"/>
      </rPr>
      <t>井）</t>
    </r>
  </si>
  <si>
    <r>
      <t>温州利</t>
    </r>
    <r>
      <rPr>
        <sz val="11"/>
        <color theme="1"/>
        <rFont val="ＭＳ Ｐゴシック"/>
        <family val="3"/>
        <charset val="134"/>
        <scheme val="minor"/>
      </rPr>
      <t>泽尔电</t>
    </r>
    <r>
      <rPr>
        <sz val="11"/>
        <color theme="1"/>
        <rFont val="ＭＳ Ｐゴシック"/>
        <family val="3"/>
        <charset val="128"/>
        <scheme val="minor"/>
      </rPr>
      <t>器科技有限公司</t>
    </r>
  </si>
  <si>
    <r>
      <t>开胃酒; 黄酒; 烈酒; 甜酒; 葡萄酒; 食用酒精;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</si>
  <si>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鑫桑神韵</t>
  </si>
  <si>
    <r>
      <t>福建省仙家茶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</si>
  <si>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高粱酒; 葡萄酒</t>
    </r>
  </si>
  <si>
    <r>
      <t>鹏鹤</t>
    </r>
    <r>
      <rPr>
        <sz val="11"/>
        <color theme="1"/>
        <rFont val="ＭＳ Ｐゴシック"/>
        <family val="3"/>
        <charset val="128"/>
        <scheme val="minor"/>
      </rPr>
      <t>昌</t>
    </r>
  </si>
  <si>
    <r>
      <t>西安世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五洲商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</si>
  <si>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含酒精的气泡水; 刺五加酒; 干型苹果酒;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果酒; 烈酒; 高粱酒</t>
    </r>
  </si>
  <si>
    <r>
      <t>宫</t>
    </r>
    <r>
      <rPr>
        <sz val="11"/>
        <color theme="1"/>
        <rFont val="ＭＳ Ｐゴシック"/>
        <family val="3"/>
        <charset val="128"/>
        <scheme val="minor"/>
      </rPr>
      <t>稻福</t>
    </r>
  </si>
  <si>
    <r>
      <t>徐</t>
    </r>
    <r>
      <rPr>
        <sz val="11"/>
        <color theme="1"/>
        <rFont val="ＭＳ Ｐゴシック"/>
        <family val="3"/>
        <charset val="134"/>
        <scheme val="minor"/>
      </rPr>
      <t>艳艳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</si>
  <si>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</si>
  <si>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土大</t>
    </r>
    <r>
      <rPr>
        <sz val="11"/>
        <color theme="1"/>
        <rFont val="ＭＳ Ｐゴシック"/>
        <family val="3"/>
        <charset val="134"/>
        <scheme val="minor"/>
      </rPr>
      <t>妈</t>
    </r>
  </si>
  <si>
    <t>郭慧星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</si>
  <si>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果酒（含酒精）; 白酒; 黄酒</t>
    </r>
  </si>
  <si>
    <t>ORIGIN BOTANICAL ESSENCE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</si>
  <si>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音山植物信息技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</si>
  <si>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果酒（含酒精）; 白酒; 葡萄酒; 利口酒; 含酒精的气泡水</t>
    </r>
  </si>
  <si>
    <r>
      <t>晟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阳普港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</si>
  <si>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杰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</si>
  <si>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开胃酒; 薄荷酒; 葡萄酒; 白酒</t>
    </r>
  </si>
  <si>
    <t>魏蜀雄酒</t>
  </si>
  <si>
    <r>
      <t>杭州春蕾生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</si>
  <si>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起泡白葡萄酒;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</si>
  <si>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塆</t>
    </r>
    <r>
      <rPr>
        <sz val="11"/>
        <color theme="1"/>
        <rFont val="ＭＳ Ｐゴシック"/>
        <family val="3"/>
        <charset val="128"/>
        <scheme val="minor"/>
      </rPr>
      <t>春</t>
    </r>
    <r>
      <rPr>
        <sz val="11"/>
        <color theme="1"/>
        <rFont val="ＭＳ Ｐゴシック"/>
        <family val="3"/>
        <charset val="134"/>
        <scheme val="minor"/>
      </rPr>
      <t>语</t>
    </r>
  </si>
  <si>
    <t>阮丹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</si>
  <si>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蜂蜜酒; 葡萄酒; 黄酒; 果酒（含酒精）</t>
    </r>
  </si>
  <si>
    <t>荷酩</t>
  </si>
  <si>
    <r>
      <t>陈泽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</si>
  <si>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果酒（含酒精）; 黄酒;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葡萄酒;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</si>
  <si>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礼博士</t>
  </si>
  <si>
    <t>礼博士文化科技（北京）有限公司</t>
  </si>
  <si>
    <r>
      <t>苦味酒;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食用酒精; 薄荷酒;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</t>
    </r>
  </si>
  <si>
    <t>KATANA</t>
  </si>
  <si>
    <t>有限会社佐多宗二商店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</si>
  <si>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日本甜米混合酒（白酒）;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日本白酒（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酒）; 杜松子酒;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食用酒精; 清酒（日本米酒）; 泡盛酒（蒸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米酒）; 日本波布蛇酒</t>
    </r>
  </si>
  <si>
    <t>畲芝宝</t>
  </si>
  <si>
    <r>
      <t>丽</t>
    </r>
    <r>
      <rPr>
        <sz val="11"/>
        <color theme="1"/>
        <rFont val="ＭＳ Ｐゴシック"/>
        <family val="3"/>
        <charset val="128"/>
        <scheme val="minor"/>
      </rPr>
      <t>水博</t>
    </r>
    <r>
      <rPr>
        <sz val="11"/>
        <color theme="1"/>
        <rFont val="ＭＳ Ｐゴシック"/>
        <family val="3"/>
        <charset val="134"/>
        <scheme val="minor"/>
      </rPr>
      <t>缘贸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</si>
  <si>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</t>
    </r>
  </si>
  <si>
    <t>泰和玉琮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</si>
  <si>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州和</t>
    </r>
    <r>
      <rPr>
        <sz val="11"/>
        <color theme="1"/>
        <rFont val="ＭＳ Ｐゴシック"/>
        <family val="3"/>
        <charset val="134"/>
        <scheme val="minor"/>
      </rPr>
      <t>为贵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</si>
  <si>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</t>
    </r>
  </si>
  <si>
    <t>氿界大唐</t>
  </si>
  <si>
    <r>
      <t>山西千</t>
    </r>
    <r>
      <rPr>
        <sz val="11"/>
        <color theme="1"/>
        <rFont val="ＭＳ Ｐゴシック"/>
        <family val="3"/>
        <charset val="134"/>
        <scheme val="minor"/>
      </rPr>
      <t>玺</t>
    </r>
    <r>
      <rPr>
        <sz val="11"/>
        <color theme="1"/>
        <rFont val="ＭＳ Ｐゴシック"/>
        <family val="3"/>
        <charset val="128"/>
        <scheme val="minor"/>
      </rPr>
      <t>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</si>
  <si>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葡萄酒; 苦味酒;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果酒（含酒精）</t>
    </r>
  </si>
  <si>
    <t>W 亭山聚</t>
  </si>
  <si>
    <t>泰州市睿王日用品有限公司</t>
  </si>
  <si>
    <r>
      <t>甜酒; 青梅酒;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烈性干酒; 白干酒（中国白酒）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</si>
  <si>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凤</t>
    </r>
  </si>
  <si>
    <t>姜砢******************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</si>
  <si>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白酒; 甘蔗制烈酒;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</si>
  <si>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曜影布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冰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</si>
  <si>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杰卡斯（深圳）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</si>
  <si>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伏特加酒;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</si>
  <si>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维</t>
    </r>
    <r>
      <rPr>
        <sz val="11"/>
        <color theme="1"/>
        <rFont val="ＭＳ Ｐゴシック"/>
        <family val="3"/>
        <charset val="128"/>
        <scheme val="minor"/>
      </rPr>
      <t>力威</t>
    </r>
  </si>
  <si>
    <t>高波</t>
  </si>
  <si>
    <r>
      <t xml:space="preserve">清酒（日本米酒）; 黄酒; 白酒; 果酒;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</si>
  <si>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天香花冠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</si>
  <si>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花冠酒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</si>
  <si>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</si>
  <si>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吾醉禾神</t>
  </si>
  <si>
    <t>罗炜炜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</si>
  <si>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</si>
  <si>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t>先丹</t>
  </si>
  <si>
    <r>
      <t>李金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</si>
  <si>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米酒; 葡萄酒; 黄酒; 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清酒（日本米酒）</t>
    </r>
  </si>
  <si>
    <t>京翠</t>
  </si>
  <si>
    <t>蔡明魁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</si>
  <si>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蒸煮提取物（利口酒和烈酒）;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</t>
    </r>
  </si>
  <si>
    <t>谷醉台</t>
  </si>
  <si>
    <r>
      <t>何</t>
    </r>
    <r>
      <rPr>
        <sz val="11"/>
        <color theme="1"/>
        <rFont val="ＭＳ Ｐゴシック"/>
        <family val="3"/>
        <charset val="134"/>
        <scheme val="minor"/>
      </rPr>
      <t>钦</t>
    </r>
  </si>
  <si>
    <r>
      <t xml:space="preserve">餐后酒（利口酒和烈酒）;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葡萄酒; 白酒; 果酒</t>
    </r>
  </si>
  <si>
    <t>醉之鼎</t>
  </si>
  <si>
    <r>
      <t>白酒; 高粱酒;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薄荷酒; 黄酒; 餐后酒（利口酒和烈酒）; 果酒;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</si>
  <si>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避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庭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</si>
  <si>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寿仙谷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</si>
  <si>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葡萄酒</t>
    </r>
  </si>
  <si>
    <t>峰尚范品</t>
  </si>
  <si>
    <r>
      <t>北京峰尚范品数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</si>
  <si>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</si>
  <si>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古堤</t>
    </r>
    <r>
      <rPr>
        <sz val="11"/>
        <color theme="1"/>
        <rFont val="ＭＳ Ｐゴシック"/>
        <family val="3"/>
        <charset val="129"/>
        <scheme val="minor"/>
      </rPr>
      <t>埂</t>
    </r>
  </si>
  <si>
    <r>
      <t>京山</t>
    </r>
    <r>
      <rPr>
        <sz val="11"/>
        <color theme="1"/>
        <rFont val="ＭＳ Ｐゴシック"/>
        <family val="3"/>
        <charset val="134"/>
        <scheme val="minor"/>
      </rPr>
      <t>乐农农</t>
    </r>
    <r>
      <rPr>
        <sz val="11"/>
        <color theme="1"/>
        <rFont val="ＭＳ Ｐゴシック"/>
        <family val="3"/>
        <charset val="128"/>
        <scheme val="minor"/>
      </rPr>
      <t>旅生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</si>
  <si>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</si>
  <si>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吉小宁</t>
  </si>
  <si>
    <r>
      <t>台山市吉小宁酒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</si>
  <si>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开胃酒; 葡萄酒; 梅酒;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茴香酒;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</si>
  <si>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桂西江</t>
    </r>
    <r>
      <rPr>
        <sz val="11"/>
        <color theme="1"/>
        <rFont val="ＭＳ Ｐゴシック"/>
        <family val="3"/>
        <charset val="134"/>
        <scheme val="minor"/>
      </rPr>
      <t>传说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</si>
  <si>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州洪定方耀餐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</si>
  <si>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甘蔗制烈酒;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</si>
  <si>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十米夏花</t>
  </si>
  <si>
    <r>
      <t>河南中也商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</si>
  <si>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汽酒;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</si>
  <si>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I唇感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</si>
  <si>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传爱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</si>
  <si>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清酒; 白干酒（中国白酒）;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烈酒; 黄酒; 果酒（含酒精）</t>
    </r>
  </si>
  <si>
    <r>
      <t>清韵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泰坊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</si>
  <si>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品（南通）供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</si>
  <si>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露酒; 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</t>
    </r>
  </si>
  <si>
    <t>焦家浮子</t>
  </si>
  <si>
    <r>
      <t>临</t>
    </r>
    <r>
      <rPr>
        <sz val="11"/>
        <color theme="1"/>
        <rFont val="ＭＳ Ｐゴシック"/>
        <family val="3"/>
        <charset val="128"/>
        <scheme val="minor"/>
      </rPr>
      <t>泉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人和商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</si>
  <si>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葡萄酒; 米酒; 威士忌; 食用酒精;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</si>
  <si>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养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</si>
  <si>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>聊城壹号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</si>
  <si>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薄荷酒; 果酒（含酒精）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</si>
  <si>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红桥</t>
    </r>
    <r>
      <rPr>
        <sz val="11"/>
        <color theme="1"/>
        <rFont val="ＭＳ Ｐゴシック"/>
        <family val="3"/>
        <charset val="128"/>
        <scheme val="minor"/>
      </rPr>
      <t>画廊有限公司</t>
    </r>
  </si>
  <si>
    <r>
      <t>青稞酒; 黄酒;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</si>
  <si>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噶咋酒</t>
  </si>
  <si>
    <r>
      <t>扶</t>
    </r>
    <r>
      <rPr>
        <sz val="11"/>
        <color theme="1"/>
        <rFont val="ＭＳ Ｐゴシック"/>
        <family val="3"/>
        <charset val="134"/>
        <scheme val="minor"/>
      </rPr>
      <t>应</t>
    </r>
    <r>
      <rPr>
        <sz val="11"/>
        <color theme="1"/>
        <rFont val="ＭＳ Ｐゴシック"/>
        <family val="3"/>
        <charset val="128"/>
        <scheme val="minor"/>
      </rPr>
      <t>中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</si>
  <si>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葡萄酒; 甘蔗制烈酒;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</t>
    </r>
  </si>
  <si>
    <r>
      <t>艺时</t>
    </r>
    <r>
      <rPr>
        <sz val="11"/>
        <color theme="1"/>
        <rFont val="ＭＳ Ｐゴシック"/>
        <family val="3"/>
        <charset val="128"/>
        <scheme val="minor"/>
      </rPr>
      <t>代</t>
    </r>
  </si>
  <si>
    <r>
      <t>四川辰醉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</si>
  <si>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开胃酒; 米酒; 黄酒; 汽酒; 蒸煮提取物（利口酒和烈酒）; 白酒;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</si>
  <si>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粮</t>
    </r>
    <r>
      <rPr>
        <sz val="11"/>
        <color theme="1"/>
        <rFont val="ＭＳ Ｐゴシック"/>
        <family val="3"/>
        <charset val="134"/>
        <scheme val="minor"/>
      </rPr>
      <t>涧</t>
    </r>
  </si>
  <si>
    <t>莫熙道</t>
  </si>
  <si>
    <r>
      <t>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葡萄酒; 果酒（含酒精）</t>
    </r>
  </si>
  <si>
    <r>
      <t>尔</t>
    </r>
    <r>
      <rPr>
        <sz val="11"/>
        <color theme="1"/>
        <rFont val="ＭＳ Ｐゴシック"/>
        <family val="3"/>
        <charset val="128"/>
        <scheme val="minor"/>
      </rPr>
      <t>敦河</t>
    </r>
  </si>
  <si>
    <r>
      <t>白玉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</si>
  <si>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开胃酒; 青稞酒; 米酒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</si>
  <si>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北恋九河台</t>
    </r>
  </si>
  <si>
    <r>
      <t>子洲</t>
    </r>
    <r>
      <rPr>
        <sz val="11"/>
        <color theme="1"/>
        <rFont val="ＭＳ Ｐゴシック"/>
        <family val="3"/>
        <charset val="134"/>
        <scheme val="minor"/>
      </rPr>
      <t>县顺</t>
    </r>
    <r>
      <rPr>
        <sz val="11"/>
        <color theme="1"/>
        <rFont val="ＭＳ Ｐゴシック"/>
        <family val="3"/>
        <charset val="128"/>
        <scheme val="minor"/>
      </rPr>
      <t>天丰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</si>
  <si>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葡萄酒; 朗姆酒;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</si>
  <si>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典者</t>
  </si>
  <si>
    <t>林杰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</si>
  <si>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烈酒;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食用酒精; 白酒; 清酒</t>
    </r>
  </si>
  <si>
    <t>花上悦</t>
  </si>
  <si>
    <t>亳州上花生物科技有限公司</t>
  </si>
  <si>
    <r>
      <t xml:space="preserve">利口酒; 威士忌; 葡萄酒;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</si>
  <si>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龘</t>
    </r>
    <r>
      <rPr>
        <sz val="11"/>
        <color theme="1"/>
        <rFont val="ＭＳ Ｐゴシック"/>
        <family val="3"/>
        <charset val="128"/>
        <scheme val="minor"/>
      </rPr>
      <t>䆐</t>
    </r>
  </si>
  <si>
    <t>李博文</t>
  </si>
  <si>
    <r>
      <t>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黄酒</t>
    </r>
  </si>
  <si>
    <t>山逢山</t>
  </si>
  <si>
    <r>
      <t>成都柿子</t>
    </r>
    <r>
      <rPr>
        <sz val="11"/>
        <color theme="1"/>
        <rFont val="ＭＳ Ｐゴシック"/>
        <family val="3"/>
        <charset val="134"/>
        <scheme val="minor"/>
      </rPr>
      <t>红电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</si>
  <si>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伏特加酒</t>
    </r>
  </si>
  <si>
    <t>枕山望川</t>
  </si>
  <si>
    <r>
      <t>贺兰</t>
    </r>
    <r>
      <rPr>
        <sz val="11"/>
        <color theme="1"/>
        <rFont val="ＭＳ Ｐゴシック"/>
        <family val="3"/>
        <charset val="128"/>
        <scheme val="minor"/>
      </rPr>
      <t>山宿集（宁夏）酒庄有限公司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</si>
  <si>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白葡萄酒; 伏特加酒;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酸酒（低等葡萄酒）; 葡萄潘趣酒;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</si>
  <si>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廉响</t>
  </si>
  <si>
    <r>
      <t>深圳警圣技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</si>
  <si>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开胃酒;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</si>
  <si>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紫斗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</si>
  <si>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州九</t>
    </r>
    <r>
      <rPr>
        <sz val="11"/>
        <color theme="1"/>
        <rFont val="ＭＳ Ｐゴシック"/>
        <family val="3"/>
        <charset val="134"/>
        <scheme val="minor"/>
      </rPr>
      <t>观贸</t>
    </r>
    <r>
      <rPr>
        <sz val="11"/>
        <color theme="1"/>
        <rFont val="ＭＳ Ｐゴシック"/>
        <family val="3"/>
        <charset val="128"/>
        <scheme val="minor"/>
      </rPr>
      <t>易有限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</si>
  <si>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甜果酒;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</si>
  <si>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山竹兄弟</t>
  </si>
  <si>
    <r>
      <t>山竹兄弟（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莞）餐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</si>
  <si>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蜂蜜酒;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</si>
  <si>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三丰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</si>
  <si>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白酒</t>
    </r>
  </si>
  <si>
    <t>岩葵</t>
  </si>
  <si>
    <r>
      <t>泉州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</si>
  <si>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伏特加酒; 葡萄酒;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</si>
  <si>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清励</t>
  </si>
  <si>
    <r>
      <t>湖南清励酒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</si>
  <si>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薄荷酒;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</si>
  <si>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胭脂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</si>
  <si>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熊恩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</si>
  <si>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黄酒; 白酒; 薄荷酒; 果酒; 清酒; 米酒</t>
    </r>
  </si>
  <si>
    <t>佳宝莱</t>
  </si>
  <si>
    <r>
      <t>罗</t>
    </r>
    <r>
      <rPr>
        <sz val="11"/>
        <color theme="1"/>
        <rFont val="ＭＳ Ｐゴシック"/>
        <family val="3"/>
        <charset val="128"/>
        <scheme val="minor"/>
      </rPr>
      <t>学平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</si>
  <si>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</t>
    </r>
  </si>
  <si>
    <t>昆山弘惠食品有限公司</t>
  </si>
  <si>
    <r>
      <t>果酒（含酒精）; 白酒; 黄酒;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</si>
  <si>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哥</t>
    </r>
    <r>
      <rPr>
        <sz val="11"/>
        <color theme="1"/>
        <rFont val="ＭＳ Ｐゴシック"/>
        <family val="3"/>
        <charset val="134"/>
        <scheme val="minor"/>
      </rPr>
      <t>俩</t>
    </r>
    <r>
      <rPr>
        <sz val="11"/>
        <color theme="1"/>
        <rFont val="ＭＳ Ｐゴシック"/>
        <family val="3"/>
        <charset val="128"/>
        <scheme val="minor"/>
      </rPr>
      <t>聚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</si>
  <si>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果酒; 白酒; 葡萄酒; 黄酒; 开胃酒;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</si>
  <si>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妙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仙</t>
    </r>
  </si>
  <si>
    <t>朱利松</t>
  </si>
  <si>
    <r>
      <t>果酒（含酒精）;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高粱酒; 清酒</t>
    </r>
  </si>
  <si>
    <t>玩家森林 PLAYERFOREST</t>
  </si>
  <si>
    <r>
      <t>北京海</t>
    </r>
    <r>
      <rPr>
        <sz val="11"/>
        <color theme="1"/>
        <rFont val="ＭＳ Ｐゴシック"/>
        <family val="3"/>
        <charset val="134"/>
        <scheme val="minor"/>
      </rPr>
      <t>苇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</si>
  <si>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青稞酒; 黄酒</t>
    </r>
  </si>
  <si>
    <t>濮黔（黔子）</t>
  </si>
  <si>
    <r>
      <t>吴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荣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</si>
  <si>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米酒; 白酒; 清酒（日本米酒）; 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</si>
  <si>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意念小金豆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</si>
  <si>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汽酒; 葡萄酒; 餐后酒（利口酒和烈酒）</t>
    </r>
  </si>
  <si>
    <t>RIGHTBANKLOVE 右岸之恋</t>
  </si>
  <si>
    <t>胡秋英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</si>
  <si>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威士忌; 果酒（含酒精）</t>
    </r>
  </si>
  <si>
    <r>
      <t>长门</t>
    </r>
    <r>
      <rPr>
        <sz val="11"/>
        <color theme="1"/>
        <rFont val="ＭＳ Ｐゴシック"/>
        <family val="3"/>
        <charset val="128"/>
        <scheme val="minor"/>
      </rPr>
      <t>岩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</si>
  <si>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</si>
  <si>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</si>
  <si>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须</t>
    </r>
    <r>
      <rPr>
        <sz val="11"/>
        <color theme="1"/>
        <rFont val="ＭＳ Ｐゴシック"/>
        <family val="3"/>
        <charset val="128"/>
        <scheme val="minor"/>
      </rPr>
      <t>臾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</si>
  <si>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志学</t>
    </r>
  </si>
  <si>
    <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米酒; 白酒; 清酒（日本米酒）; 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</si>
  <si>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醇香吟</t>
  </si>
  <si>
    <r>
      <t>杭州</t>
    </r>
    <r>
      <rPr>
        <sz val="11"/>
        <color theme="1"/>
        <rFont val="ＭＳ Ｐゴシック"/>
        <family val="3"/>
        <charset val="134"/>
        <scheme val="minor"/>
      </rPr>
      <t>韩忆</t>
    </r>
    <r>
      <rPr>
        <sz val="11"/>
        <color theme="1"/>
        <rFont val="ＭＳ Ｐゴシック"/>
        <family val="3"/>
        <charset val="128"/>
        <scheme val="minor"/>
      </rPr>
      <t>美家居有限公司</t>
    </r>
  </si>
  <si>
    <r>
      <t>威士忌; 朗姆酒; 果酒（含酒精）; 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食用酒精;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</si>
  <si>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冀国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</si>
  <si>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露酒;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果酒（含酒精）; 葡萄酒</t>
    </r>
  </si>
  <si>
    <t>状元翼</t>
  </si>
  <si>
    <t>沙金芝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</si>
  <si>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清酒（日本米酒）; 葡萄酒;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</si>
  <si>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句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</si>
  <si>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</si>
  <si>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和</t>
    </r>
    <r>
      <rPr>
        <sz val="11"/>
        <color theme="1"/>
        <rFont val="ＭＳ Ｐゴシック"/>
        <family val="3"/>
        <charset val="134"/>
        <scheme val="minor"/>
      </rPr>
      <t>为贵</t>
    </r>
    <r>
      <rPr>
        <sz val="11"/>
        <color theme="1"/>
        <rFont val="ＭＳ Ｐゴシック"/>
        <family val="3"/>
        <charset val="128"/>
        <scheme val="minor"/>
      </rPr>
      <t>玉琮</t>
    </r>
  </si>
  <si>
    <r>
      <t xml:space="preserve">食用酒精; 白酒;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</t>
    </r>
  </si>
  <si>
    <r>
      <t>吉道喜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</si>
  <si>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梅酒; 茴香酒; 米酒;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</si>
  <si>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t>黄极古</t>
  </si>
  <si>
    <r>
      <t>凤</t>
    </r>
    <r>
      <rPr>
        <sz val="11"/>
        <color theme="1"/>
        <rFont val="ＭＳ Ｐゴシック"/>
        <family val="3"/>
        <charset val="128"/>
        <scheme val="minor"/>
      </rPr>
      <t>雅国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健康管理（北京）有限公司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</si>
  <si>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苹果酒</t>
    </r>
  </si>
  <si>
    <t>功者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</si>
  <si>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葡萄酒; 烈酒; 高粱酒; 黄酒; 食用酒精; 清酒;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</si>
  <si>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月老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</si>
  <si>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正斌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</si>
  <si>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开胃酒; 蜂蜜酒</t>
    </r>
  </si>
  <si>
    <t>梦百宴</t>
  </si>
  <si>
    <r>
      <t>杜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利******************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</si>
  <si>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白酒; 威士忌; 清酒（日本米酒）; 米酒;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</si>
  <si>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北方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</si>
  <si>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山西杏花北方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</si>
  <si>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</t>
    </r>
  </si>
  <si>
    <t>古明亭</t>
  </si>
  <si>
    <r>
      <t>汾阳市古明亭酒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</si>
  <si>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食用酒精; 白酒; 果酒（含酒精）;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</si>
  <si>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杰琳宝</t>
    </r>
    <r>
      <rPr>
        <sz val="11"/>
        <color theme="1"/>
        <rFont val="ＭＳ Ｐゴシック"/>
        <family val="3"/>
        <charset val="134"/>
        <scheme val="minor"/>
      </rPr>
      <t>贝</t>
    </r>
  </si>
  <si>
    <r>
      <t>中山市瑞福迩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中心</t>
    </r>
  </si>
  <si>
    <r>
      <t>伏特加酒;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甜酒; 白酒; 咖啡利口酒; 含酒精的气泡水; 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</si>
  <si>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冻</t>
    </r>
    <r>
      <rPr>
        <sz val="11"/>
        <color theme="1"/>
        <rFont val="ＭＳ Ｐゴシック"/>
        <family val="3"/>
        <charset val="128"/>
        <scheme val="minor"/>
      </rPr>
      <t>凌背</t>
    </r>
  </si>
  <si>
    <r>
      <t>河北本真旅游开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</si>
  <si>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</si>
  <si>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ASAHI PREMIUM SQUEEZE</t>
  </si>
  <si>
    <r>
      <t>朝日集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控股株式会社</t>
    </r>
  </si>
  <si>
    <r>
      <t>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</si>
  <si>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酉爵</t>
  </si>
  <si>
    <r>
      <t>釜阳春酒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</si>
  <si>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</si>
  <si>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馫</t>
    </r>
    <r>
      <rPr>
        <sz val="11"/>
        <color theme="1"/>
        <rFont val="ＭＳ Ｐゴシック"/>
        <family val="3"/>
        <charset val="134"/>
        <scheme val="minor"/>
      </rPr>
      <t>辽</t>
    </r>
    <r>
      <rPr>
        <sz val="11"/>
        <color theme="1"/>
        <rFont val="ＭＳ Ｐゴシック"/>
        <family val="3"/>
        <charset val="128"/>
        <scheme val="minor"/>
      </rPr>
      <t>惠君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</si>
  <si>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西福道茶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</si>
  <si>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烈酒;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</si>
  <si>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山田夫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</si>
  <si>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莆田市田夫</t>
    </r>
    <r>
      <rPr>
        <sz val="11"/>
        <color theme="1"/>
        <rFont val="ＭＳ Ｐゴシック"/>
        <family val="3"/>
        <charset val="134"/>
        <scheme val="minor"/>
      </rPr>
      <t>农场绿</t>
    </r>
    <r>
      <rPr>
        <sz val="11"/>
        <color theme="1"/>
        <rFont val="ＭＳ Ｐゴシック"/>
        <family val="3"/>
        <charset val="128"/>
        <scheme val="minor"/>
      </rPr>
      <t>色食品有限公司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</si>
  <si>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汽酒;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</si>
  <si>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聚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益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</si>
  <si>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品品牌管理研究院（个人独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</si>
  <si>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黄酒;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</si>
  <si>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细</t>
    </r>
    <r>
      <rPr>
        <sz val="11"/>
        <color theme="1"/>
        <rFont val="ＭＳ Ｐゴシック"/>
        <family val="3"/>
        <charset val="128"/>
        <scheme val="minor"/>
      </rPr>
      <t>台山水故事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</si>
  <si>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安佳醇酒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</si>
  <si>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开胃酒;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</si>
  <si>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新蓉城一品</t>
  </si>
  <si>
    <t>杜小波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</si>
  <si>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蜂蜜酒;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</si>
  <si>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ANJIER.CHEN.AJ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</si>
  <si>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东飞</t>
    </r>
    <r>
      <rPr>
        <sz val="11"/>
        <color theme="1"/>
        <rFont val="ＭＳ Ｐゴシック"/>
        <family val="3"/>
        <charset val="128"/>
        <scheme val="minor"/>
      </rPr>
      <t>卓品牌管理有限公司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</si>
  <si>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果酒; 威士忌</t>
    </r>
  </si>
  <si>
    <t>莒哥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</si>
  <si>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莒地印象商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</si>
  <si>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葡萄酒; 白酒; 开胃酒; 蜂蜜酒; 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</si>
  <si>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天圣万将</t>
  </si>
  <si>
    <t>李建林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</si>
  <si>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</si>
  <si>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印象醉仙居</t>
  </si>
  <si>
    <t>彭海良*****************X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</si>
  <si>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清酒（日本米酒）; 酸酒（低等葡萄酒）; 蜂蜜酒; 开胃酒; 白酒; 果酒</t>
    </r>
  </si>
  <si>
    <t>晋粹三斤粮</t>
  </si>
  <si>
    <r>
      <t>山西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悦商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</si>
  <si>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米酒; 白酒; 露酒;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</si>
  <si>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唐三两打酒</t>
    </r>
    <r>
      <rPr>
        <sz val="11"/>
        <color theme="1"/>
        <rFont val="ＭＳ Ｐゴシック"/>
        <family val="3"/>
        <charset val="134"/>
        <scheme val="minor"/>
      </rPr>
      <t>铺</t>
    </r>
  </si>
  <si>
    <t>成都唐三两品牌管理有限公司</t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</si>
  <si>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食用酒精; 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</si>
  <si>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嘉沁</t>
    </r>
  </si>
  <si>
    <t>张团结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</si>
  <si>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</si>
  <si>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六梁</t>
    </r>
  </si>
  <si>
    <t>洛阳燕宝食品有限公司</t>
  </si>
  <si>
    <r>
      <t>食用酒精;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</si>
  <si>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炎九渊</t>
  </si>
  <si>
    <r>
      <t>果酒（含酒精）; 梅酒;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高粱酒;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</si>
  <si>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侍家人</t>
  </si>
  <si>
    <r>
      <t>侍行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</si>
  <si>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 xml:space="preserve">苹果酒;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开胃酒;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</t>
    </r>
  </si>
  <si>
    <t>康如春</t>
  </si>
  <si>
    <t>戴璟</t>
  </si>
  <si>
    <r>
      <t>威士忌;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食用酒精; 葡萄酒; 蒸煮提取物（利口酒和烈酒）; 伏特加酒</t>
    </r>
  </si>
  <si>
    <t>巴斯德勒 BUSTETLER</t>
  </si>
  <si>
    <t>曾玉琴</t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</si>
  <si>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</si>
  <si>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恋土</t>
    </r>
  </si>
  <si>
    <t>刘全成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</si>
  <si>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苹果酒; 利口酒;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汽酒; 米酒</t>
    </r>
  </si>
  <si>
    <r>
      <t xml:space="preserve">蒸煮提取物（利口酒和烈酒）; 蜂蜜酒; 汽酒; 白干酒（中国白酒）; 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</si>
  <si>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魅先生</t>
    </r>
  </si>
  <si>
    <r>
      <t>海南歌德盈香酒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</si>
  <si>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</si>
  <si>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峰</t>
    </r>
    <r>
      <rPr>
        <sz val="11"/>
        <color theme="1"/>
        <rFont val="ＭＳ Ｐゴシック"/>
        <family val="3"/>
        <charset val="134"/>
        <scheme val="minor"/>
      </rPr>
      <t>观</t>
    </r>
  </si>
  <si>
    <r>
      <t>四川夏太园林景</t>
    </r>
    <r>
      <rPr>
        <sz val="11"/>
        <color theme="1"/>
        <rFont val="ＭＳ Ｐゴシック"/>
        <family val="3"/>
        <charset val="134"/>
        <scheme val="minor"/>
      </rPr>
      <t>观绿</t>
    </r>
    <r>
      <rPr>
        <sz val="11"/>
        <color theme="1"/>
        <rFont val="ＭＳ Ｐゴシック"/>
        <family val="3"/>
        <charset val="128"/>
        <scheme val="minor"/>
      </rPr>
      <t>化工程有限公司</t>
    </r>
  </si>
  <si>
    <r>
      <t>黄酒;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果酒（含酒精）; 烈性干酒; 米酒</t>
    </r>
  </si>
  <si>
    <t>古潭河</t>
  </si>
  <si>
    <r>
      <t>苏</t>
    </r>
    <r>
      <rPr>
        <sz val="11"/>
        <color theme="1"/>
        <rFont val="ＭＳ Ｐゴシック"/>
        <family val="3"/>
        <charset val="128"/>
        <scheme val="minor"/>
      </rPr>
      <t>学英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</si>
  <si>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清酒（日本米酒）; 葡萄酒; 蜂蜜酒; 白酒</t>
    </r>
  </si>
  <si>
    <t>柑厚堂</t>
  </si>
  <si>
    <r>
      <t>江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市新会区茶坑古兮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皮有限公司</t>
    </r>
  </si>
  <si>
    <r>
      <t>柑香酒; 白干酒（中国白酒）; 果酒; 露酒;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黄酒</t>
    </r>
  </si>
  <si>
    <r>
      <t>屿鹤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</si>
  <si>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任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合</t>
    </r>
  </si>
  <si>
    <r>
      <t>黄酒; 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青稞酒</t>
    </r>
  </si>
  <si>
    <t>杞魄</t>
  </si>
  <si>
    <r>
      <t>成都最美投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</si>
  <si>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</si>
  <si>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谷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星</t>
    </r>
  </si>
  <si>
    <t>河北兆启数据科技有限公司</t>
  </si>
  <si>
    <r>
      <t xml:space="preserve">黄酒;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果酒（含酒精）; 葡萄酒;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</si>
  <si>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FUDIZHENXUAN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</si>
  <si>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尧</t>
    </r>
    <r>
      <rPr>
        <sz val="11"/>
        <color theme="1"/>
        <rFont val="ＭＳ Ｐゴシック"/>
        <family val="3"/>
        <charset val="128"/>
        <scheme val="minor"/>
      </rPr>
      <t>地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</si>
  <si>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食用酒精; 果酒（含酒精）; 黄酒; 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</si>
  <si>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遂州宋瓷酒</t>
  </si>
  <si>
    <t>王利平</t>
  </si>
  <si>
    <r>
      <t>白酒;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</t>
    </r>
  </si>
  <si>
    <t>赐骋</t>
  </si>
  <si>
    <r>
      <t xml:space="preserve">白酒; 果酒（含酒精）; 清酒（日本米酒）;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</si>
  <si>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汉宫飞龙</t>
  </si>
  <si>
    <r>
      <t>冯</t>
    </r>
    <r>
      <rPr>
        <sz val="11"/>
        <color theme="1"/>
        <rFont val="ＭＳ Ｐゴシック"/>
        <family val="3"/>
        <charset val="128"/>
        <scheme val="minor"/>
      </rPr>
      <t>志斌</t>
    </r>
  </si>
  <si>
    <r>
      <t xml:space="preserve">白酒; 清酒; 黄酒; 汽酒; 果酒; 葡萄酒;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</si>
  <si>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r>
      <t>渐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</si>
  <si>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广州泗海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名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</si>
  <si>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清酒（日本米酒）; 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</si>
  <si>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山高圣宝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</si>
  <si>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力奇保健食品有限公司</t>
    </r>
  </si>
  <si>
    <r>
      <t>葡萄酒; 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</si>
  <si>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宿</t>
    </r>
    <r>
      <rPr>
        <sz val="11"/>
        <color theme="1"/>
        <rFont val="ＭＳ Ｐゴシック"/>
        <family val="3"/>
        <charset val="134"/>
        <scheme val="minor"/>
      </rPr>
      <t>乡贤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</si>
  <si>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乡贤</t>
    </r>
    <r>
      <rPr>
        <sz val="11"/>
        <color theme="1"/>
        <rFont val="ＭＳ Ｐゴシック"/>
        <family val="3"/>
        <charset val="128"/>
        <scheme val="minor"/>
      </rPr>
      <t>家科技服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</si>
  <si>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果酒（含酒精）; 米酒</t>
    </r>
  </si>
  <si>
    <r>
      <t>糁糁</t>
    </r>
    <r>
      <rPr>
        <sz val="11"/>
        <color theme="1"/>
        <rFont val="ＭＳ Ｐゴシック"/>
        <family val="3"/>
        <charset val="128"/>
        <scheme val="minor"/>
      </rPr>
      <t>德酒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</si>
  <si>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</t>
    </r>
    <r>
      <rPr>
        <sz val="11"/>
        <color theme="1"/>
        <rFont val="ＭＳ Ｐゴシック"/>
        <family val="3"/>
        <charset val="134"/>
        <scheme val="minor"/>
      </rPr>
      <t>糁糁</t>
    </r>
    <r>
      <rPr>
        <sz val="11"/>
        <color theme="1"/>
        <rFont val="ＭＳ Ｐゴシック"/>
        <family val="3"/>
        <charset val="128"/>
        <scheme val="minor"/>
      </rPr>
      <t>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</si>
  <si>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烈酒; 米酒; 果酒（含酒精）;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</si>
  <si>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玖柒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明</t>
    </r>
  </si>
  <si>
    <t>梁蟠安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</si>
  <si>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葡萄酒; 清酒（日本米酒）; 五加皮酒（中国混合烈酒）;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</si>
  <si>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古唐特</t>
  </si>
  <si>
    <r>
      <t>河南省南阳关酒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</si>
  <si>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露酒;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</si>
  <si>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忘园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</si>
  <si>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深圳程序云网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</si>
  <si>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威士忌; 伏特加酒;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</si>
  <si>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银闪</t>
    </r>
    <r>
      <rPr>
        <sz val="11"/>
        <color theme="1"/>
        <rFont val="ＭＳ Ｐゴシック"/>
        <family val="3"/>
        <charset val="128"/>
        <scheme val="minor"/>
      </rPr>
      <t>付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</si>
  <si>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祥林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</si>
  <si>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开胃酒;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</t>
    </r>
  </si>
  <si>
    <t>途家</t>
  </si>
  <si>
    <r>
      <t>途家网网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（北京）有限公司</t>
    </r>
  </si>
  <si>
    <r>
      <t>米酒;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清酒（日本米酒）; 葡萄酒; 甜果酒;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佐餐酒</t>
    </r>
  </si>
  <si>
    <r>
      <t>蒙</t>
    </r>
    <r>
      <rPr>
        <sz val="11"/>
        <color theme="1"/>
        <rFont val="ＭＳ Ｐゴシック"/>
        <family val="3"/>
        <charset val="134"/>
        <scheme val="minor"/>
      </rPr>
      <t>颜</t>
    </r>
    <r>
      <rPr>
        <sz val="11"/>
        <color theme="1"/>
        <rFont val="ＭＳ Ｐゴシック"/>
        <family val="3"/>
        <charset val="128"/>
        <scheme val="minor"/>
      </rPr>
      <t>韵</t>
    </r>
    <r>
      <rPr>
        <sz val="11"/>
        <color theme="1"/>
        <rFont val="ＭＳ Ｐゴシック"/>
        <family val="3"/>
        <charset val="134"/>
        <scheme val="minor"/>
      </rPr>
      <t>贤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</si>
  <si>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清酒; 米酒; 威士忌</t>
    </r>
  </si>
  <si>
    <t>海棠人生</t>
  </si>
  <si>
    <r>
      <t>河北燕盛坊酒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</si>
  <si>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苦味酒;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果酒（含酒精）; 茴香酒（利口酒）;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</si>
  <si>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陆</t>
    </r>
    <r>
      <rPr>
        <sz val="11"/>
        <color theme="1"/>
        <rFont val="ＭＳ Ｐゴシック"/>
        <family val="3"/>
        <charset val="128"/>
        <scheme val="minor"/>
      </rPr>
      <t>少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</si>
  <si>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桐城市少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家白酒坊（个体工商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</si>
  <si>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 xml:space="preserve">白酒; 高粱酒; 开胃酒;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果酒; 蜂蜜酒;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</si>
  <si>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鹏兴陈</t>
  </si>
  <si>
    <r>
      <t>孙</t>
    </r>
    <r>
      <rPr>
        <sz val="11"/>
        <color theme="1"/>
        <rFont val="ＭＳ Ｐゴシック"/>
        <family val="3"/>
        <charset val="128"/>
        <scheme val="minor"/>
      </rPr>
      <t>德甫（******************）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</si>
  <si>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米酒; 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蒸煮提取物（利口酒和烈酒）;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</si>
  <si>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恩多益</t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</si>
  <si>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美盼食品研究中心</t>
    </r>
  </si>
  <si>
    <r>
      <t>蜂蜜酒;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汽酒; 开胃酒; 葡萄酒;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</si>
  <si>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米香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</si>
  <si>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赵贞</t>
    </r>
    <r>
      <rPr>
        <sz val="11"/>
        <color theme="1"/>
        <rFont val="ＭＳ Ｐゴシック"/>
        <family val="3"/>
        <charset val="128"/>
        <scheme val="minor"/>
      </rPr>
      <t>虎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</si>
  <si>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蒸煮提取物（利口酒和烈酒）</t>
    </r>
  </si>
  <si>
    <r>
      <t>韬</t>
    </r>
    <r>
      <rPr>
        <sz val="11"/>
        <color theme="1"/>
        <rFont val="ＭＳ Ｐゴシック"/>
        <family val="3"/>
        <charset val="128"/>
        <scheme val="minor"/>
      </rPr>
      <t>域瑶草</t>
    </r>
  </si>
  <si>
    <r>
      <t>内蒙古制美商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</si>
  <si>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甜酒; 葡萄酒;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</si>
  <si>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t>TOPSKY THINKING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</si>
  <si>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察者科技有限公司</t>
    </r>
  </si>
  <si>
    <r>
      <t>果酒（含酒精）; 米酒; 含酒精的气泡水;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</si>
  <si>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鹏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</si>
  <si>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</si>
  <si>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白酒; 餐后酒（利口酒和烈酒）;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</si>
  <si>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执</t>
    </r>
    <r>
      <rPr>
        <sz val="11"/>
        <color theme="1"/>
        <rFont val="ＭＳ Ｐゴシック"/>
        <family val="3"/>
        <charset val="128"/>
        <scheme val="minor"/>
      </rPr>
      <t>符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</si>
  <si>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睿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科技服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</si>
  <si>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苹果酒; 米酒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</si>
  <si>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夫子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</si>
  <si>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乙四夫******************</t>
    </r>
  </si>
  <si>
    <r>
      <t>开胃酒; 茴芹酒（利口酒）; 茴香酒（利口酒）;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苦味酒;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薄荷酒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</si>
  <si>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浩吉</t>
    </r>
    <r>
      <rPr>
        <sz val="11"/>
        <color theme="1"/>
        <rFont val="ＭＳ Ｐゴシック"/>
        <family val="3"/>
        <charset val="134"/>
        <scheme val="minor"/>
      </rPr>
      <t>矿业</t>
    </r>
    <r>
      <rPr>
        <sz val="11"/>
        <color theme="1"/>
        <rFont val="ＭＳ Ｐゴシック"/>
        <family val="3"/>
        <charset val="128"/>
        <scheme val="minor"/>
      </rPr>
      <t>装</t>
    </r>
    <r>
      <rPr>
        <sz val="11"/>
        <color theme="1"/>
        <rFont val="ＭＳ Ｐゴシック"/>
        <family val="3"/>
        <charset val="134"/>
        <scheme val="minor"/>
      </rPr>
      <t>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</si>
  <si>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</si>
  <si>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小小玉</t>
    </r>
    <r>
      <rPr>
        <sz val="11"/>
        <color theme="1"/>
        <rFont val="ＭＳ Ｐゴシック"/>
        <family val="3"/>
        <charset val="134"/>
        <scheme val="minor"/>
      </rPr>
      <t>纯</t>
    </r>
  </si>
  <si>
    <t>李健</t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</si>
  <si>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白葡萄酒;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黄酒; 米酒; 烈酒;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</si>
  <si>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心与老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</si>
  <si>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球</t>
    </r>
    <r>
      <rPr>
        <sz val="11"/>
        <color theme="1"/>
        <rFont val="ＭＳ Ｐゴシック"/>
        <family val="3"/>
        <charset val="134"/>
        <scheme val="minor"/>
      </rPr>
      <t>创艺</t>
    </r>
    <r>
      <rPr>
        <sz val="11"/>
        <color theme="1"/>
        <rFont val="ＭＳ Ｐゴシック"/>
        <family val="3"/>
        <charset val="128"/>
        <scheme val="minor"/>
      </rPr>
      <t>装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</si>
  <si>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利口酒;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</si>
  <si>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伏排老</t>
  </si>
  <si>
    <t>高殿任</t>
  </si>
  <si>
    <r>
      <t>威士忌; 黄酒;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</si>
  <si>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春秋池</t>
  </si>
  <si>
    <t>黄小足</t>
  </si>
  <si>
    <r>
      <t>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威士忌; 烈酒; 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</si>
  <si>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元沛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</si>
  <si>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州滋者供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</si>
  <si>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</si>
  <si>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米瑟莱盖</t>
  </si>
  <si>
    <t>裴黎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</si>
  <si>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葡萄酒; 米酒; 白酒</t>
    </r>
  </si>
  <si>
    <r>
      <t>上海盛煦德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</si>
  <si>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威士忌;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</t>
    </r>
  </si>
  <si>
    <t>江如梦</t>
  </si>
  <si>
    <t>匡宁</t>
  </si>
  <si>
    <r>
      <t>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</si>
  <si>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佳汁园</t>
  </si>
  <si>
    <r>
      <t>姚万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</si>
  <si>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</si>
  <si>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菜鼎盛</t>
  </si>
  <si>
    <t>万里</t>
  </si>
  <si>
    <r>
      <t>白酒; 食用酒精;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清酒; 葡萄酒;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</si>
  <si>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益正达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</si>
  <si>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春市双益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</si>
  <si>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汽酒; 高粱酒; 米酒; 清酒; 果酒;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</t>
    </r>
  </si>
  <si>
    <t>功臣明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</si>
  <si>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竹双</t>
    </r>
    <r>
      <rPr>
        <sz val="11"/>
        <color theme="1"/>
        <rFont val="ＭＳ Ｐゴシック"/>
        <family val="3"/>
        <charset val="134"/>
        <scheme val="minor"/>
      </rPr>
      <t>剑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</si>
  <si>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伏特加酒;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</si>
  <si>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CEDRO DO NOVAL</t>
  </si>
  <si>
    <r>
      <t>诺</t>
    </r>
    <r>
      <rPr>
        <sz val="11"/>
        <color theme="1"/>
        <rFont val="ＭＳ Ｐゴシック"/>
        <family val="3"/>
        <charset val="128"/>
        <scheme val="minor"/>
      </rPr>
      <t>瓦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庄园葡萄酒股份公司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</si>
  <si>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</si>
  <si>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r>
      <t>秦</t>
    </r>
    <r>
      <rPr>
        <sz val="11"/>
        <color theme="1"/>
        <rFont val="ＭＳ Ｐゴシック"/>
        <family val="3"/>
        <charset val="134"/>
        <scheme val="minor"/>
      </rPr>
      <t>赋</t>
    </r>
    <r>
      <rPr>
        <sz val="11"/>
        <color theme="1"/>
        <rFont val="ＭＳ Ｐゴシック"/>
        <family val="3"/>
        <charset val="128"/>
        <scheme val="minor"/>
      </rPr>
      <t>海天葡园</t>
    </r>
  </si>
  <si>
    <r>
      <t>储</t>
    </r>
    <r>
      <rPr>
        <sz val="11"/>
        <color theme="1"/>
        <rFont val="ＭＳ Ｐゴシック"/>
        <family val="3"/>
        <charset val="128"/>
        <scheme val="minor"/>
      </rPr>
      <t>瑞萍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</si>
  <si>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</t>
    </r>
  </si>
  <si>
    <t>上猷森宿</t>
  </si>
  <si>
    <r>
      <t>上犹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犹江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</si>
  <si>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</si>
  <si>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千脉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河·礼</t>
    </r>
  </si>
  <si>
    <r>
      <t>四川酒海酒城供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</si>
  <si>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烈酒</t>
    </r>
  </si>
  <si>
    <t>京史</t>
  </si>
  <si>
    <r>
      <t>姑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区蝶尚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易商行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</si>
  <si>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</si>
  <si>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色星原：旅</t>
    </r>
    <r>
      <rPr>
        <sz val="11"/>
        <color theme="1"/>
        <rFont val="ＭＳ Ｐゴシック"/>
        <family val="3"/>
        <charset val="134"/>
        <scheme val="minor"/>
      </rPr>
      <t>谣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</si>
  <si>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积</t>
    </r>
    <r>
      <rPr>
        <sz val="11"/>
        <color theme="1"/>
        <rFont val="ＭＳ Ｐゴシック"/>
        <family val="3"/>
        <charset val="128"/>
        <scheme val="minor"/>
      </rPr>
      <t>咪网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</si>
  <si>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米酒;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</si>
  <si>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玺</t>
    </r>
    <r>
      <rPr>
        <sz val="11"/>
        <color theme="1"/>
        <rFont val="ＭＳ Ｐゴシック"/>
        <family val="3"/>
        <charset val="128"/>
        <scheme val="minor"/>
      </rPr>
      <t>谷侯</t>
    </r>
  </si>
  <si>
    <t>张龙宾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</si>
  <si>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威士忌;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白酒; 葡萄酒; 烈酒</t>
    </r>
  </si>
  <si>
    <t>厦科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</si>
  <si>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厦科管道</t>
    </r>
    <r>
      <rPr>
        <sz val="11"/>
        <color theme="1"/>
        <rFont val="ＭＳ Ｐゴシック"/>
        <family val="3"/>
        <charset val="134"/>
        <scheme val="minor"/>
      </rPr>
      <t>节</t>
    </r>
    <r>
      <rPr>
        <sz val="11"/>
        <color theme="1"/>
        <rFont val="ＭＳ Ｐゴシック"/>
        <family val="3"/>
        <charset val="128"/>
        <scheme val="minor"/>
      </rPr>
      <t>能科技有限公司</t>
    </r>
  </si>
  <si>
    <r>
      <t>米酒; 白干酒（中国白酒）;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</si>
  <si>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随适</t>
  </si>
  <si>
    <r>
      <t>三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回廊</t>
    </r>
    <r>
      <rPr>
        <sz val="11"/>
        <color theme="1"/>
        <rFont val="ＭＳ Ｐゴシック"/>
        <family val="3"/>
        <charset val="134"/>
        <scheme val="minor"/>
      </rPr>
      <t>摄</t>
    </r>
    <r>
      <rPr>
        <sz val="11"/>
        <color theme="1"/>
        <rFont val="ＭＳ Ｐゴシック"/>
        <family val="3"/>
        <charset val="128"/>
        <scheme val="minor"/>
      </rPr>
      <t>影有限公司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</si>
  <si>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利口酒;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</si>
  <si>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斛仙翁</t>
  </si>
  <si>
    <t>王秀荣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</si>
  <si>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甜酒; 烈酒; 果酒; 葡萄酒; 梅酒; 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</si>
  <si>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拾酒醉春</t>
  </si>
  <si>
    <r>
      <t>拉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伯爵（深圳）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</si>
  <si>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威士忌; 朗姆酒;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葡萄酒; 烈酒;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伏特加酒;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</si>
  <si>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匠心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品</t>
    </r>
  </si>
  <si>
    <t>田学友</t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</si>
  <si>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甜果酒</t>
    </r>
  </si>
  <si>
    <r>
      <t>郇香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</si>
  <si>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周雪</t>
    </r>
    <r>
      <rPr>
        <sz val="11"/>
        <color theme="1"/>
        <rFont val="ＭＳ Ｐゴシック"/>
        <family val="3"/>
        <charset val="134"/>
        <scheme val="minor"/>
      </rPr>
      <t>样</t>
    </r>
  </si>
  <si>
    <r>
      <t>白酒; 朗姆酒; 食用酒精; 黄酒;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威士忌; 葡萄酒; 米酒</t>
    </r>
  </si>
  <si>
    <t>晴歌韵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</si>
  <si>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薄荷酒; 甜酒;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</t>
    </r>
  </si>
  <si>
    <r>
      <t>祥瑞</t>
    </r>
    <r>
      <rPr>
        <sz val="11"/>
        <color theme="1"/>
        <rFont val="ＭＳ Ｐゴシック"/>
        <family val="3"/>
        <charset val="134"/>
        <scheme val="minor"/>
      </rPr>
      <t>苏</t>
    </r>
  </si>
  <si>
    <t>李文杰</t>
  </si>
  <si>
    <r>
      <t xml:space="preserve">果酒（含酒精）; 黄酒; 白酒; 食用酒精;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威士忌</t>
    </r>
  </si>
  <si>
    <t>烈朝</t>
  </si>
  <si>
    <r>
      <t xml:space="preserve">烈酒;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威士忌; 黄酒; 白酒; 葡萄酒</t>
    </r>
  </si>
  <si>
    <t>郇果都</t>
  </si>
  <si>
    <r>
      <t>食用酒精;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利口酒; 米酒; 果酒（含酒精）; 朗姆酒; 黄酒</t>
    </r>
  </si>
  <si>
    <r>
      <t>阳阳</t>
    </r>
    <r>
      <rPr>
        <sz val="11"/>
        <color theme="1"/>
        <rFont val="ＭＳ Ｐゴシック"/>
        <family val="3"/>
        <charset val="134"/>
        <scheme val="minor"/>
      </rPr>
      <t>银鸥</t>
    </r>
  </si>
  <si>
    <r>
      <t>北京市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方阳阳快餐有限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</si>
  <si>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梨酒;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</si>
  <si>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徕</t>
    </r>
    <r>
      <rPr>
        <sz val="11"/>
        <color theme="1"/>
        <rFont val="ＭＳ Ｐゴシック"/>
        <family val="3"/>
        <charset val="128"/>
        <scheme val="minor"/>
      </rPr>
      <t>宁印象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</si>
  <si>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仁国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</si>
  <si>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米酒; 白酒; 利口酒; 蒸煮提取物（利口酒和烈酒）</t>
    </r>
  </si>
  <si>
    <t>食物星球</t>
  </si>
  <si>
    <r>
      <t>云南与云相伴商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</si>
  <si>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梨酒;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开胃酒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</si>
  <si>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文史密斯</t>
    </r>
  </si>
  <si>
    <r>
      <t>潍</t>
    </r>
    <r>
      <rPr>
        <sz val="11"/>
        <color theme="1"/>
        <rFont val="ＭＳ Ｐゴシック"/>
        <family val="3"/>
        <charset val="128"/>
        <scheme val="minor"/>
      </rPr>
      <t>坊米悦美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</si>
  <si>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利口酒; 白酒; 葡萄酒; 伏特加酒</t>
    </r>
  </si>
  <si>
    <t>袁隆海 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</si>
  <si>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市海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</si>
  <si>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黄酒; 米酒; 青稞酒; 白酒;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</si>
  <si>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典朗</t>
    </r>
  </si>
  <si>
    <t>郭外香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</si>
  <si>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</t>
    </r>
  </si>
  <si>
    <r>
      <t>流量</t>
    </r>
    <r>
      <rPr>
        <sz val="11"/>
        <color theme="1"/>
        <rFont val="ＭＳ Ｐゴシック"/>
        <family val="3"/>
        <charset val="134"/>
        <scheme val="minor"/>
      </rPr>
      <t>铖</t>
    </r>
  </si>
  <si>
    <r>
      <t>流量</t>
    </r>
    <r>
      <rPr>
        <sz val="11"/>
        <color theme="1"/>
        <rFont val="ＭＳ Ｐゴシック"/>
        <family val="3"/>
        <charset val="134"/>
        <scheme val="minor"/>
      </rPr>
      <t>铖</t>
    </r>
    <r>
      <rPr>
        <sz val="11"/>
        <color theme="1"/>
        <rFont val="ＭＳ Ｐゴシック"/>
        <family val="3"/>
        <charset val="128"/>
        <scheme val="minor"/>
      </rPr>
      <t>（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岩）网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</si>
  <si>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高粱酒; 甜酒; 果酒; 白干酒（中国白酒）; 烈酒; 白酒; 葡萄酒;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</si>
  <si>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t>旋浪</t>
  </si>
  <si>
    <r>
      <t>上海巧珩墨舞企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</si>
  <si>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果酒（含酒精）; 米酒; 葡萄酒</t>
    </r>
  </si>
  <si>
    <t>旋斗士</t>
  </si>
  <si>
    <r>
      <t>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</si>
  <si>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石瓢</t>
  </si>
  <si>
    <r>
      <t>河南丞匠酒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</si>
  <si>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米酒; 白酒; 清酒; 威士忌</t>
    </r>
  </si>
  <si>
    <r>
      <t>皖少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</si>
  <si>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果酒; 蜂蜜酒; 米酒; 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葡萄酒; 黄酒; 白酒</t>
    </r>
  </si>
  <si>
    <t>唐酭醴酒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</si>
  <si>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东鲁</t>
    </r>
    <r>
      <rPr>
        <sz val="11"/>
        <color theme="1"/>
        <rFont val="ＭＳ Ｐゴシック"/>
        <family val="3"/>
        <charset val="128"/>
        <scheme val="minor"/>
      </rPr>
      <t>京坊瑞醴健康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</si>
  <si>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</t>
    </r>
  </si>
  <si>
    <r>
      <t>文</t>
    </r>
    <r>
      <rPr>
        <sz val="11"/>
        <color theme="1"/>
        <rFont val="ＭＳ Ｐゴシック"/>
        <family val="3"/>
        <charset val="134"/>
        <scheme val="minor"/>
      </rPr>
      <t>袭</t>
    </r>
  </si>
  <si>
    <r>
      <t>梁俊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</si>
  <si>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</si>
  <si>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r>
      <t>唐</t>
    </r>
    <r>
      <rPr>
        <sz val="11"/>
        <color theme="1"/>
        <rFont val="ＭＳ Ｐゴシック"/>
        <family val="3"/>
        <charset val="129"/>
        <scheme val="minor"/>
      </rPr>
      <t>琈</t>
    </r>
    <r>
      <rPr>
        <sz val="11"/>
        <color theme="1"/>
        <rFont val="ＭＳ Ｐゴシック"/>
        <family val="3"/>
        <charset val="128"/>
        <scheme val="minor"/>
      </rPr>
      <t>醴酒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</si>
  <si>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食用酒精;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</si>
  <si>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老石抖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</si>
  <si>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黄王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</si>
  <si>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清酒; 果酒; 开胃酒; 蒸煮提取物（利口酒和烈酒）; 黄酒; 米酒; 白酒</t>
    </r>
  </si>
  <si>
    <r>
      <t>荣宝昌</t>
    </r>
    <r>
      <rPr>
        <sz val="11"/>
        <color theme="1"/>
        <rFont val="ＭＳ Ｐゴシック"/>
        <family val="3"/>
        <charset val="134"/>
        <scheme val="minor"/>
      </rPr>
      <t>鲲鹏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</si>
  <si>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开普路科技有限公司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</si>
  <si>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白酒;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葡萄酒</t>
    </r>
  </si>
  <si>
    <t>南小清</t>
  </si>
  <si>
    <r>
      <t>米酒; 白酒; 露酒; 清酒; 白干酒（中国白酒）;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食用酒精</t>
    </r>
  </si>
  <si>
    <r>
      <t>相府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贤</t>
    </r>
  </si>
  <si>
    <r>
      <t>诸</t>
    </r>
    <r>
      <rPr>
        <sz val="11"/>
        <color theme="1"/>
        <rFont val="ＭＳ Ｐゴシック"/>
        <family val="3"/>
        <charset val="128"/>
        <scheme val="minor"/>
      </rPr>
      <t>城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</si>
  <si>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米酒; 露酒; 威士忌; 伏特加酒;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</t>
    </r>
  </si>
  <si>
    <t>号迷王</t>
  </si>
  <si>
    <r>
      <t>故城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彩</t>
    </r>
    <r>
      <rPr>
        <sz val="11"/>
        <color theme="1"/>
        <rFont val="ＭＳ Ｐゴシック"/>
        <family val="3"/>
        <charset val="134"/>
        <scheme val="minor"/>
      </rPr>
      <t>铃</t>
    </r>
    <r>
      <rPr>
        <sz val="11"/>
        <color theme="1"/>
        <rFont val="ＭＳ Ｐゴシック"/>
        <family val="3"/>
        <charset val="128"/>
        <scheme val="minor"/>
      </rPr>
      <t>妹妹网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</si>
  <si>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米酒</t>
    </r>
  </si>
  <si>
    <t>修谷狼王</t>
  </si>
  <si>
    <t>丁小兵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</si>
  <si>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朗姆酒;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</si>
  <si>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台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</si>
  <si>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大同市印象忘</t>
    </r>
    <r>
      <rPr>
        <sz val="11"/>
        <color theme="1"/>
        <rFont val="ＭＳ Ｐゴシック"/>
        <family val="3"/>
        <charset val="134"/>
        <scheme val="minor"/>
      </rPr>
      <t>忧</t>
    </r>
    <r>
      <rPr>
        <sz val="11"/>
        <color theme="1"/>
        <rFont val="ＭＳ Ｐゴシック"/>
        <family val="3"/>
        <charset val="128"/>
        <scheme val="minor"/>
      </rPr>
      <t>食品开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</si>
  <si>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苹果酒; 果酒（含酒精）; 黄酒; 米酒</t>
    </r>
  </si>
  <si>
    <r>
      <t>皆</t>
    </r>
    <r>
      <rPr>
        <sz val="11"/>
        <color theme="1"/>
        <rFont val="ＭＳ Ｐゴシック"/>
        <family val="3"/>
        <charset val="134"/>
        <scheme val="minor"/>
      </rPr>
      <t>归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</si>
  <si>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雪林</t>
    </r>
  </si>
  <si>
    <r>
      <t xml:space="preserve">五加皮酒（中国混合烈酒）;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甜果酒; 果酒</t>
    </r>
  </si>
  <si>
    <r>
      <t>连</t>
    </r>
    <r>
      <rPr>
        <sz val="11"/>
        <color theme="1"/>
        <rFont val="ＭＳ Ｐゴシック"/>
        <family val="3"/>
        <charset val="128"/>
        <scheme val="minor"/>
      </rPr>
      <t>康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</si>
  <si>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康生物科技有限公司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</si>
  <si>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</si>
  <si>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文都少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</si>
  <si>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 xml:space="preserve">开胃酒; 高粱酒; 白酒; 蜂蜜酒; 果酒; 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</si>
  <si>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旋斗</t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</si>
  <si>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</si>
  <si>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仁禾</t>
    </r>
    <r>
      <rPr>
        <sz val="11"/>
        <color theme="1"/>
        <rFont val="ＭＳ Ｐゴシック"/>
        <family val="3"/>
        <charset val="134"/>
        <scheme val="minor"/>
      </rPr>
      <t>钰</t>
    </r>
    <r>
      <rPr>
        <sz val="11"/>
        <color theme="1"/>
        <rFont val="ＭＳ Ｐゴシック"/>
        <family val="3"/>
        <charset val="128"/>
        <scheme val="minor"/>
      </rPr>
      <t>露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</si>
  <si>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汽酒; 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</si>
  <si>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思一二</t>
  </si>
  <si>
    <r>
      <t>北京十方界酒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</si>
  <si>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蜂蜜酒; 黄酒; 白酒;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梨酒; 果酒（含酒精）</t>
    </r>
  </si>
  <si>
    <r>
      <t>醉美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图</t>
    </r>
  </si>
  <si>
    <t>黄川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</si>
  <si>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白干酒（中国白酒）; 葡萄酒</t>
    </r>
  </si>
  <si>
    <r>
      <t>酒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34"/>
        <scheme val="minor"/>
      </rPr>
      <t>忆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</si>
  <si>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晶</t>
    </r>
  </si>
  <si>
    <r>
      <t>米酒; 伏特加酒; 白酒; 葡萄酒; 食用酒精;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</si>
  <si>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HENEVEN</t>
  </si>
  <si>
    <t>展召河</t>
  </si>
  <si>
    <r>
      <t xml:space="preserve">利口酒;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葡萄酒</t>
    </r>
  </si>
  <si>
    <r>
      <t>养</t>
    </r>
    <r>
      <rPr>
        <sz val="11"/>
        <color theme="1"/>
        <rFont val="ＭＳ Ｐゴシック"/>
        <family val="3"/>
        <charset val="134"/>
        <scheme val="minor"/>
      </rPr>
      <t>锐</t>
    </r>
  </si>
  <si>
    <r>
      <t>临</t>
    </r>
    <r>
      <rPr>
        <sz val="11"/>
        <color theme="1"/>
        <rFont val="ＭＳ Ｐゴシック"/>
        <family val="3"/>
        <charset val="128"/>
        <scheme val="minor"/>
      </rPr>
      <t>沂市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陵坤元酒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</si>
  <si>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汽酒; 米酒;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烈酒</t>
    </r>
  </si>
  <si>
    <t>七色峰</t>
  </si>
  <si>
    <r>
      <t>上海玖舟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</si>
  <si>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白酒; 食用酒精;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黄酒</t>
    </r>
  </si>
  <si>
    <t>森宿上猷</t>
  </si>
  <si>
    <r>
      <t>果酒（含酒精）; 蜂蜜酒; 葡萄酒;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</si>
  <si>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旋度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</si>
  <si>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米酒; 黄酒; 葡萄酒</t>
    </r>
  </si>
  <si>
    <r>
      <t>祥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泰</t>
    </r>
  </si>
  <si>
    <r>
      <t>蒙</t>
    </r>
    <r>
      <rPr>
        <sz val="11"/>
        <color theme="1"/>
        <rFont val="ＭＳ Ｐゴシック"/>
        <family val="3"/>
        <charset val="134"/>
        <scheme val="minor"/>
      </rPr>
      <t>坚</t>
    </r>
  </si>
  <si>
    <r>
      <t>果酒（含酒精）; 青稞酒; 米酒;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</si>
  <si>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窖喜年</t>
  </si>
  <si>
    <r>
      <t>李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</si>
  <si>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青稞酒</t>
    </r>
  </si>
  <si>
    <t>花有云</t>
  </si>
  <si>
    <r>
      <t xml:space="preserve">米酒; 白酒; 开胃酒; 蒸煮提取物（利口酒和烈酒）;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清酒; 葡萄酒</t>
    </r>
  </si>
  <si>
    <r>
      <t>足球</t>
    </r>
    <r>
      <rPr>
        <sz val="11"/>
        <color theme="1"/>
        <rFont val="ＭＳ Ｐゴシック"/>
        <family val="3"/>
        <charset val="134"/>
        <scheme val="minor"/>
      </rPr>
      <t>侬</t>
    </r>
  </si>
  <si>
    <r>
      <t>湛江市盈江投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</si>
  <si>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苹果酒;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</si>
  <si>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蔽酒</t>
  </si>
  <si>
    <r>
      <t>周</t>
    </r>
    <r>
      <rPr>
        <sz val="11"/>
        <color theme="1"/>
        <rFont val="ＭＳ Ｐゴシック"/>
        <family val="3"/>
        <charset val="134"/>
        <scheme val="minor"/>
      </rPr>
      <t>丽琼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</si>
  <si>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威士忌;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烈酒; 开胃酒</t>
    </r>
  </si>
  <si>
    <t>棉致</t>
  </si>
  <si>
    <t>上海棉致品牌管理有限公司</t>
  </si>
  <si>
    <r>
      <t>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</si>
  <si>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吴玉</t>
    </r>
  </si>
  <si>
    <r>
      <t>镇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芝中医食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研究院有限公司</t>
    </r>
  </si>
  <si>
    <r>
      <t>甜酒; 汽酒; 露酒;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</si>
  <si>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t>琴江赤子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</si>
  <si>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市君鑫酒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</si>
  <si>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开胃酒</t>
    </r>
  </si>
  <si>
    <t>螺小溪</t>
  </si>
  <si>
    <t>刘宏榕</t>
  </si>
  <si>
    <r>
      <t xml:space="preserve">蜂蜜酒; 清酒（日本米酒）; 米酒; 白酒; 青稞酒; 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</si>
  <si>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运行天</t>
    </r>
  </si>
  <si>
    <r>
      <t>海南帕德里克投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</si>
  <si>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食用酒精; 米酒; 黄酒</t>
    </r>
  </si>
  <si>
    <t>江淮王</t>
  </si>
  <si>
    <r>
      <t>欧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拉（山西）品牌管理有限公司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</si>
  <si>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</si>
  <si>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耕湾</t>
  </si>
  <si>
    <r>
      <t>江西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创农业发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</si>
  <si>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</si>
  <si>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</si>
  <si>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深圳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会科技有限公司</t>
    </r>
  </si>
  <si>
    <r>
      <t xml:space="preserve">白酒; 果酒（含酒精）; 威士忌; 清酒（日本米酒）; 青稞酒;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</si>
  <si>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奶牛口袋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</si>
  <si>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江奶牛口袋乳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</si>
  <si>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清酒; 米酒; 果酒（含酒精）;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伏特加酒</t>
    </r>
  </si>
  <si>
    <t>六王三花</t>
  </si>
  <si>
    <r>
      <t>广西容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荣隆酒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</si>
  <si>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米酒; 黄酒; 葡萄酒</t>
    </r>
  </si>
  <si>
    <t>招匠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</si>
  <si>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州捷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</si>
  <si>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清酒（日本米酒）</t>
    </r>
  </si>
  <si>
    <r>
      <t>玫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瑰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</si>
  <si>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肃东</t>
    </r>
    <r>
      <rPr>
        <sz val="11"/>
        <color theme="1"/>
        <rFont val="ＭＳ Ｐゴシック"/>
        <family val="3"/>
        <charset val="128"/>
        <scheme val="minor"/>
      </rPr>
      <t>方天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玫瑰科技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</si>
  <si>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开胃酒; 黄酒;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白酒</t>
    </r>
  </si>
  <si>
    <t>YAOGUNZHICHENG</t>
  </si>
  <si>
    <r>
      <t>石家庄旅投集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文化体育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任公司演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分公司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</si>
  <si>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果酒（含酒精）; 黄酒; 食用酒精; 白酒;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</si>
  <si>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九</t>
    </r>
  </si>
  <si>
    <t>黄睿康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</si>
  <si>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清酒（日本米酒）;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利口酒</t>
    </r>
  </si>
  <si>
    <t>醉樾古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</si>
  <si>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市君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泰商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</si>
  <si>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果酒（含酒精）; 苹果酒;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</si>
  <si>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赋</t>
    </r>
    <r>
      <rPr>
        <sz val="11"/>
        <color theme="1"/>
        <rFont val="ＭＳ Ｐゴシック"/>
        <family val="3"/>
        <charset val="128"/>
        <scheme val="minor"/>
      </rPr>
      <t>蓉</t>
    </r>
  </si>
  <si>
    <t>陶小平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</si>
  <si>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葡萄酒; 朗姆酒; 高粱酒;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</si>
  <si>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千脉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河·韵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</si>
  <si>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果酒; 白酒; 白干酒（中国白酒）;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</si>
  <si>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水木先生</t>
  </si>
  <si>
    <r>
      <t>北京意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艺术发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</si>
  <si>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柑香酒;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</si>
  <si>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伯爵仁</t>
  </si>
  <si>
    <r>
      <t>伯爵酒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</si>
  <si>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朗姆酒</t>
    </r>
  </si>
  <si>
    <t>唐峪台</t>
  </si>
  <si>
    <r>
      <t xml:space="preserve">威士忌; 米酒; 葡萄酒;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</si>
  <si>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存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</si>
  <si>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福建誉存投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</si>
  <si>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</si>
  <si>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缮缘</t>
    </r>
  </si>
  <si>
    <r>
      <t>河南省禹志建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工程有限公司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</si>
  <si>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白酒; 烈性干酒;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黄酒</t>
    </r>
  </si>
  <si>
    <r>
      <t>东边</t>
    </r>
    <r>
      <rPr>
        <sz val="11"/>
        <color theme="1"/>
        <rFont val="ＭＳ Ｐゴシック"/>
        <family val="3"/>
        <charset val="128"/>
        <scheme val="minor"/>
      </rPr>
      <t>大岭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</si>
  <si>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平</t>
    </r>
  </si>
  <si>
    <r>
      <t>高粱酒;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</si>
  <si>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文舍</t>
  </si>
  <si>
    <r>
      <t>米酒; 白酒; 高粱酒; 清酒; 葡萄酒; 黄酒; 烈酒;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</si>
  <si>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莱澳达</t>
  </si>
  <si>
    <r>
      <t>广州市微醺之意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</si>
  <si>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甜果酒;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朗姆酒; 利口酒;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伏特加酒; 威士忌</t>
    </r>
  </si>
  <si>
    <t>尤竹</t>
  </si>
  <si>
    <r>
      <t>汾阳市</t>
    </r>
    <r>
      <rPr>
        <sz val="11"/>
        <color theme="1"/>
        <rFont val="ＭＳ Ｐゴシック"/>
        <family val="3"/>
        <charset val="134"/>
        <scheme val="minor"/>
      </rPr>
      <t>纯</t>
    </r>
    <r>
      <rPr>
        <sz val="11"/>
        <color theme="1"/>
        <rFont val="ＭＳ Ｐゴシック"/>
        <family val="3"/>
        <charset val="128"/>
        <scheme val="minor"/>
      </rPr>
      <t>粮白酒批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零售有限公司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</si>
  <si>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清酒; 汽酒; 高粱酒; 葡萄酒; 黄酒;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</si>
  <si>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澎香园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</si>
  <si>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稼香园白酒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</si>
  <si>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白干酒（中国白酒）; 米酒; 甜酒; 果酒; 葡萄酒; 白酒; 食用酒精</t>
    </r>
  </si>
  <si>
    <r>
      <t>聚运</t>
    </r>
    <r>
      <rPr>
        <sz val="11"/>
        <color theme="1"/>
        <rFont val="ＭＳ Ｐゴシック"/>
        <family val="3"/>
        <charset val="134"/>
        <scheme val="minor"/>
      </rPr>
      <t>马</t>
    </r>
  </si>
  <si>
    <t>王燕</t>
  </si>
  <si>
    <r>
      <t xml:space="preserve">高粱酒;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威士忌;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</si>
  <si>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妃廷养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</si>
  <si>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州微行天下网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</si>
  <si>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开胃酒; 米酒;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</t>
    </r>
  </si>
  <si>
    <r>
      <t>韬</t>
    </r>
    <r>
      <rPr>
        <sz val="11"/>
        <color theme="1"/>
        <rFont val="ＭＳ Ｐゴシック"/>
        <family val="3"/>
        <charset val="128"/>
        <scheme val="minor"/>
      </rPr>
      <t>域云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</si>
  <si>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甜酒;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</si>
  <si>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韬</t>
    </r>
    <r>
      <rPr>
        <sz val="11"/>
        <color theme="1"/>
        <rFont val="ＭＳ Ｐゴシック"/>
        <family val="3"/>
        <charset val="128"/>
        <scheme val="minor"/>
      </rPr>
      <t>域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</si>
  <si>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</t>
    </r>
  </si>
  <si>
    <r>
      <t>雷</t>
    </r>
    <r>
      <rPr>
        <sz val="11"/>
        <color theme="1"/>
        <rFont val="ＭＳ Ｐゴシック"/>
        <family val="3"/>
        <charset val="134"/>
        <scheme val="minor"/>
      </rPr>
      <t>阁</t>
    </r>
  </si>
  <si>
    <r>
      <t>广州雷</t>
    </r>
    <r>
      <rPr>
        <sz val="11"/>
        <color theme="1"/>
        <rFont val="ＭＳ Ｐゴシック"/>
        <family val="3"/>
        <charset val="134"/>
        <scheme val="minor"/>
      </rPr>
      <t>阁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</si>
  <si>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</t>
    </r>
  </si>
  <si>
    <t>WEI YE LEGEND</t>
  </si>
  <si>
    <r>
      <t>福建</t>
    </r>
    <r>
      <rPr>
        <sz val="11"/>
        <color theme="1"/>
        <rFont val="ＭＳ Ｐゴシック"/>
        <family val="3"/>
        <charset val="134"/>
        <scheme val="minor"/>
      </rPr>
      <t>岚</t>
    </r>
    <r>
      <rPr>
        <sz val="11"/>
        <color theme="1"/>
        <rFont val="ＭＳ Ｐゴシック"/>
        <family val="3"/>
        <charset val="128"/>
        <scheme val="minor"/>
      </rPr>
      <t>阳供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</si>
  <si>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高粱酒; 白酒; 葡萄酒; 清酒（日本米酒）; 果酒; 白葡萄酒; 麦芽威士忌</t>
    </r>
  </si>
  <si>
    <r>
      <t>满诗</t>
    </r>
    <r>
      <rPr>
        <sz val="11"/>
        <color theme="1"/>
        <rFont val="ＭＳ Ｐゴシック"/>
        <family val="3"/>
        <charset val="128"/>
        <scheme val="minor"/>
      </rPr>
      <t>妥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</si>
  <si>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乔</t>
    </r>
    <r>
      <rPr>
        <sz val="11"/>
        <color theme="1"/>
        <rFont val="ＭＳ Ｐゴシック"/>
        <family val="3"/>
        <charset val="128"/>
        <scheme val="minor"/>
      </rPr>
      <t>佰</t>
    </r>
    <r>
      <rPr>
        <sz val="11"/>
        <color theme="1"/>
        <rFont val="ＭＳ Ｐゴシック"/>
        <family val="3"/>
        <charset val="134"/>
        <scheme val="minor"/>
      </rPr>
      <t>顺贸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</si>
  <si>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</si>
  <si>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唐福翁</t>
  </si>
  <si>
    <t>田金海</t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</si>
  <si>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果酒（含酒精）</t>
    </r>
  </si>
  <si>
    <t>画香四季</t>
  </si>
  <si>
    <r>
      <t>上海百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</si>
  <si>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甜果酒; 开胃酒;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</t>
    </r>
  </si>
  <si>
    <t>青年春酒肆</t>
  </si>
  <si>
    <t>高清悦</t>
  </si>
  <si>
    <r>
      <t>伏特加酒; 葡萄酒;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果酒（含酒精）; 威士忌;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</si>
  <si>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BOLIEAH 博立</t>
    </r>
    <r>
      <rPr>
        <sz val="11"/>
        <color theme="1"/>
        <rFont val="ＭＳ Ｐゴシック"/>
        <family val="3"/>
        <charset val="134"/>
        <scheme val="minor"/>
      </rPr>
      <t>烨</t>
    </r>
  </si>
  <si>
    <r>
      <t>河北博立</t>
    </r>
    <r>
      <rPr>
        <sz val="11"/>
        <color theme="1"/>
        <rFont val="ＭＳ Ｐゴシック"/>
        <family val="3"/>
        <charset val="134"/>
        <scheme val="minor"/>
      </rPr>
      <t>烨</t>
    </r>
    <r>
      <rPr>
        <sz val="11"/>
        <color theme="1"/>
        <rFont val="ＭＳ Ｐゴシック"/>
        <family val="3"/>
        <charset val="128"/>
        <scheme val="minor"/>
      </rPr>
      <t>装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材料有限公司</t>
    </r>
  </si>
  <si>
    <r>
      <t>威士忌; 白酒; 黄酒; 青稞酒; 利口酒;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</si>
  <si>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啪</t>
    </r>
    <r>
      <rPr>
        <sz val="11"/>
        <color theme="1"/>
        <rFont val="ＭＳ Ｐゴシック"/>
        <family val="3"/>
        <charset val="128"/>
        <scheme val="minor"/>
      </rPr>
      <t>陂</t>
    </r>
    <r>
      <rPr>
        <sz val="11"/>
        <color theme="1"/>
        <rFont val="ＭＳ Ｐゴシック"/>
        <family val="3"/>
        <charset val="134"/>
        <scheme val="minor"/>
      </rPr>
      <t>浆</t>
    </r>
  </si>
  <si>
    <r>
      <t>李梓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</si>
  <si>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混合威士忌酒;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</t>
    </r>
  </si>
  <si>
    <t>HUAJIASHAOFANGZHENGBENSUYUAN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</si>
  <si>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</si>
  <si>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葡萄酒; 白酒; 威士忌;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</si>
  <si>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始王家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</si>
  <si>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王宗德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酒厂</t>
    </r>
  </si>
  <si>
    <r>
      <t xml:space="preserve">米酒; 黄酒; 葡萄酒; 烈酒; 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</si>
  <si>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HUAJIASHAOFANG</t>
  </si>
  <si>
    <r>
      <t xml:space="preserve">开胃酒; 白酒;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</si>
  <si>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MAOSHUAIFU</t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</si>
  <si>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</si>
  <si>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堰拾玖</t>
  </si>
  <si>
    <r>
      <t>张</t>
    </r>
    <r>
      <rPr>
        <sz val="11"/>
        <color theme="1"/>
        <rFont val="ＭＳ Ｐゴシック"/>
        <family val="3"/>
        <charset val="128"/>
        <scheme val="minor"/>
      </rPr>
      <t>湾区白源商行</t>
    </r>
  </si>
  <si>
    <r>
      <t>黄酒;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白酒;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</si>
  <si>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鲁潍</t>
    </r>
    <r>
      <rPr>
        <sz val="11"/>
        <color theme="1"/>
        <rFont val="ＭＳ Ｐゴシック"/>
        <family val="3"/>
        <charset val="128"/>
        <scheme val="minor"/>
      </rPr>
      <t>景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</si>
  <si>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</si>
  <si>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 xml:space="preserve">薄荷酒; 烈酒;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清酒; 葡萄酒; 苹果酒;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</si>
  <si>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山里小鹿</t>
  </si>
  <si>
    <t>夏国祥******************</t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</si>
  <si>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利口酒; 米酒; 白干酒（中国白酒）;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</si>
  <si>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t>城悍</t>
  </si>
  <si>
    <t>曹平平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</si>
  <si>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米酒; 威士忌</t>
    </r>
  </si>
  <si>
    <r>
      <t>库</t>
    </r>
    <r>
      <rPr>
        <sz val="11"/>
        <color theme="1"/>
        <rFont val="ＭＳ Ｐゴシック"/>
        <family val="3"/>
        <charset val="128"/>
        <scheme val="minor"/>
      </rPr>
      <t>豪</t>
    </r>
  </si>
  <si>
    <r>
      <t>郭秋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</si>
  <si>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威士忌; 葡萄酒; 黄酒; 白酒;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</si>
  <si>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MAOSHUAISHAOFANG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</si>
  <si>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</si>
  <si>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t>淡墨秋山</t>
  </si>
  <si>
    <r>
      <t>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米酒; 果酒;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</si>
  <si>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t>置鼎</t>
  </si>
  <si>
    <r>
      <t>刘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斌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</si>
  <si>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黄酒</t>
    </r>
  </si>
  <si>
    <t>HUAJIASHAOFANGJIANGJIUBENYUAN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</si>
  <si>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</si>
  <si>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玖酒道</t>
  </si>
  <si>
    <r>
      <t>上海玖酒道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</si>
  <si>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米酒; 葡萄酒; 白酒; 高粱酒; 白干酒（中国白酒）; 威士忌</t>
    </r>
  </si>
  <si>
    <t>心如宝月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</si>
  <si>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清酒; 白酒; 米酒</t>
    </r>
  </si>
  <si>
    <r>
      <t>千杯</t>
    </r>
    <r>
      <rPr>
        <sz val="11"/>
        <color theme="1"/>
        <rFont val="ＭＳ Ｐゴシック"/>
        <family val="3"/>
        <charset val="134"/>
        <scheme val="minor"/>
      </rPr>
      <t>玺</t>
    </r>
  </si>
  <si>
    <t>魏丹萍</t>
  </si>
  <si>
    <r>
      <t xml:space="preserve">开胃酒; 烈酒;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</si>
  <si>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窖吟令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</si>
  <si>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市致玖酒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</si>
  <si>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</t>
    </r>
  </si>
  <si>
    <t>奉唐春</t>
  </si>
  <si>
    <t>路文静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</si>
  <si>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</t>
    </r>
  </si>
  <si>
    <r>
      <t>后稷春耕</t>
    </r>
    <r>
      <rPr>
        <sz val="11"/>
        <color theme="1"/>
        <rFont val="ＭＳ Ｐゴシック"/>
        <family val="3"/>
        <charset val="134"/>
        <scheme val="minor"/>
      </rPr>
      <t>鲸</t>
    </r>
  </si>
  <si>
    <r>
      <t>华润汇</t>
    </r>
    <r>
      <rPr>
        <sz val="11"/>
        <color theme="1"/>
        <rFont val="ＭＳ Ｐゴシック"/>
        <family val="3"/>
        <charset val="128"/>
        <scheme val="minor"/>
      </rPr>
      <t>丰（天津）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</si>
  <si>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米酒; 清酒（日本米酒）; 葡萄酒</t>
    </r>
  </si>
  <si>
    <t>HUAJIASHAOFANGZHENGBENQINGYUAN</t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</si>
  <si>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</si>
  <si>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着墨</t>
  </si>
  <si>
    <r>
      <t>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</si>
  <si>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泽华</t>
    </r>
    <r>
      <rPr>
        <sz val="11"/>
        <color theme="1"/>
        <rFont val="ＭＳ Ｐゴシック"/>
        <family val="3"/>
        <charset val="128"/>
        <scheme val="minor"/>
      </rPr>
      <t>仕</t>
    </r>
  </si>
  <si>
    <r>
      <t>曹雪</t>
    </r>
    <r>
      <rPr>
        <sz val="11"/>
        <color theme="1"/>
        <rFont val="ＭＳ Ｐゴシック"/>
        <family val="3"/>
        <charset val="134"/>
        <scheme val="minor"/>
      </rPr>
      <t>琼</t>
    </r>
  </si>
  <si>
    <r>
      <t>果酒（含酒精）; 汽酒;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</si>
  <si>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郭大胆</t>
  </si>
  <si>
    <t>浙江蝶宝新材料股份有限公司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</si>
  <si>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果酒（含酒精）; 葡萄酒;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</si>
  <si>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昊春秋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</si>
  <si>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州金沙窖</t>
    </r>
    <r>
      <rPr>
        <sz val="11"/>
        <color theme="1"/>
        <rFont val="ＭＳ Ｐゴシック"/>
        <family val="3"/>
        <charset val="134"/>
        <scheme val="minor"/>
      </rPr>
      <t>龄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</si>
  <si>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葡萄酒</t>
    </r>
  </si>
  <si>
    <r>
      <t>匠方琥珀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</si>
  <si>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潍</t>
    </r>
    <r>
      <rPr>
        <sz val="11"/>
        <color theme="1"/>
        <rFont val="ＭＳ Ｐゴシック"/>
        <family val="3"/>
        <charset val="128"/>
        <scheme val="minor"/>
      </rPr>
      <t>坊三十里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</si>
  <si>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蒸煮提取物（利口酒和烈酒）;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</t>
    </r>
  </si>
  <si>
    <t>烈世佳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</si>
  <si>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烈酒; 开胃酒</t>
    </r>
  </si>
  <si>
    <t>DOS X DOS</t>
  </si>
  <si>
    <r>
      <t>上海星享梅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</si>
  <si>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白酒; 葡萄酒;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伏特加酒</t>
    </r>
  </si>
  <si>
    <r>
      <t>考拉</t>
    </r>
    <r>
      <rPr>
        <sz val="11"/>
        <color theme="1"/>
        <rFont val="ＭＳ Ｐゴシック"/>
        <family val="3"/>
        <charset val="134"/>
        <scheme val="minor"/>
      </rPr>
      <t>总动员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</si>
  <si>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玉霞</t>
    </r>
  </si>
  <si>
    <t>白酒; 开胃酒; 汽酒; 清酒; 果酒; 黄酒; 甜酒; 葡萄酒; 食用酒精; 米酒</t>
  </si>
  <si>
    <t>拉姆姑娘</t>
  </si>
  <si>
    <r>
      <t>马</t>
    </r>
    <r>
      <rPr>
        <sz val="11"/>
        <color theme="1"/>
        <rFont val="ＭＳ Ｐゴシック"/>
        <family val="3"/>
        <charset val="128"/>
        <scheme val="minor"/>
      </rPr>
      <t>雨翔</t>
    </r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</si>
  <si>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</si>
  <si>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裕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来</t>
    </r>
  </si>
  <si>
    <r>
      <t>宁夏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达置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</si>
  <si>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加烈葡萄酒;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利口酒; 不起泡葡萄酒;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</t>
    </r>
  </si>
  <si>
    <t>HUAJIASHAOFANGZHENGBENZHENGYUAN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</si>
  <si>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</si>
  <si>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LAOMAOSHUAI</t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</si>
  <si>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</si>
  <si>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XIAOMAOSHUAI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</si>
  <si>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开胃酒;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</si>
  <si>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老</t>
    </r>
    <r>
      <rPr>
        <sz val="11"/>
        <color theme="1"/>
        <rFont val="ＭＳ Ｐゴシック"/>
        <family val="3"/>
        <charset val="134"/>
        <scheme val="minor"/>
      </rPr>
      <t>鹰窝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</si>
  <si>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宁老</t>
    </r>
    <r>
      <rPr>
        <sz val="11"/>
        <color theme="1"/>
        <rFont val="ＭＳ Ｐゴシック"/>
        <family val="3"/>
        <charset val="134"/>
        <scheme val="minor"/>
      </rPr>
      <t>鹰</t>
    </r>
    <r>
      <rPr>
        <sz val="11"/>
        <color theme="1"/>
        <rFont val="ＭＳ Ｐゴシック"/>
        <family val="3"/>
        <charset val="128"/>
        <scheme val="minor"/>
      </rPr>
      <t>山白酒有限公司</t>
    </r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</si>
  <si>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甜酒</t>
    </r>
  </si>
  <si>
    <r>
      <t>静</t>
    </r>
    <r>
      <rPr>
        <sz val="11"/>
        <color theme="1"/>
        <rFont val="ＭＳ Ｐゴシック"/>
        <family val="3"/>
        <charset val="134"/>
        <scheme val="minor"/>
      </rPr>
      <t>巭</t>
    </r>
  </si>
  <si>
    <r>
      <t>静</t>
    </r>
    <r>
      <rPr>
        <sz val="11"/>
        <color theme="1"/>
        <rFont val="ＭＳ Ｐゴシック"/>
        <family val="3"/>
        <charset val="134"/>
        <scheme val="minor"/>
      </rPr>
      <t>巭</t>
    </r>
    <r>
      <rPr>
        <sz val="11"/>
        <color theme="1"/>
        <rFont val="ＭＳ Ｐゴシック"/>
        <family val="3"/>
        <charset val="128"/>
        <scheme val="minor"/>
      </rPr>
      <t>拓展（江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</si>
  <si>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梅酒; 米酒;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</si>
  <si>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龙兴</t>
    </r>
    <r>
      <rPr>
        <sz val="11"/>
        <color theme="1"/>
        <rFont val="ＭＳ Ｐゴシック"/>
        <family val="3"/>
        <charset val="128"/>
        <scheme val="minor"/>
      </rPr>
      <t>万事</t>
    </r>
  </si>
  <si>
    <r>
      <t>烈酒; 露酒; 朗姆酒;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</si>
  <si>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信何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</si>
  <si>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亲临乡</t>
    </r>
    <r>
      <rPr>
        <sz val="11"/>
        <color theme="1"/>
        <rFont val="ＭＳ Ｐゴシック"/>
        <family val="3"/>
        <charset val="128"/>
        <scheme val="minor"/>
      </rPr>
      <t>土文化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</si>
  <si>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白干酒（中国白酒）;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苹果酒</t>
    </r>
  </si>
  <si>
    <r>
      <t>缸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</si>
  <si>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四川慢工酒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</si>
  <si>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</si>
  <si>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申息之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</si>
  <si>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冲</t>
    </r>
  </si>
  <si>
    <r>
      <t>威士忌; 露酒;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</t>
    </r>
  </si>
  <si>
    <t>彭仲爽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</si>
  <si>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露酒; 黄酒;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果酒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</si>
  <si>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恭</t>
    </r>
  </si>
  <si>
    <t>刘江生</t>
  </si>
  <si>
    <r>
      <t xml:space="preserve">果酒（含酒精）; 烈酒; 黄酒;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威士忌</t>
    </r>
  </si>
  <si>
    <t>屯呱呱</t>
  </si>
  <si>
    <r>
      <t>吴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</si>
  <si>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</si>
  <si>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球鑫荣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</si>
  <si>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清酒（日本米酒）;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</si>
  <si>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蔺</t>
    </r>
    <r>
      <rPr>
        <sz val="11"/>
        <color theme="1"/>
        <rFont val="ＭＳ Ｐゴシック"/>
        <family val="3"/>
        <charset val="128"/>
        <scheme val="minor"/>
      </rPr>
      <t>丰</t>
    </r>
  </si>
  <si>
    <t>刘秀秀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</si>
  <si>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梅酒; 露酒; 黄酒; 青稞酒;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</si>
  <si>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泱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</si>
  <si>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姜卜</t>
    </r>
  </si>
  <si>
    <r>
      <t>烈酒; 威士忌; 果酒（含酒精）;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葡萄酒</t>
    </r>
  </si>
  <si>
    <r>
      <t>栈</t>
    </r>
    <r>
      <rPr>
        <sz val="11"/>
        <color theme="1"/>
        <rFont val="ＭＳ Ｐゴシック"/>
        <family val="3"/>
        <charset val="128"/>
        <scheme val="minor"/>
      </rPr>
      <t>小哥</t>
    </r>
  </si>
  <si>
    <r>
      <t>郭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</si>
  <si>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</si>
  <si>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尝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</si>
  <si>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>陆</t>
    </r>
    <r>
      <rPr>
        <sz val="11"/>
        <color theme="1"/>
        <rFont val="ＭＳ Ｐゴシック"/>
        <family val="3"/>
        <charset val="128"/>
        <scheme val="minor"/>
      </rPr>
      <t>益仙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</si>
  <si>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白酒; 果酒; 米酒</t>
    </r>
  </si>
  <si>
    <r>
      <t>纪</t>
    </r>
    <r>
      <rPr>
        <sz val="11"/>
        <color theme="1"/>
        <rFont val="ＭＳ Ｐゴシック"/>
        <family val="3"/>
        <charset val="128"/>
        <scheme val="minor"/>
      </rPr>
      <t>要客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</si>
  <si>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庆顺势</t>
    </r>
    <r>
      <rPr>
        <sz val="11"/>
        <color theme="1"/>
        <rFont val="ＭＳ Ｐゴシック"/>
        <family val="3"/>
        <charset val="128"/>
        <scheme val="minor"/>
      </rPr>
      <t>而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</si>
  <si>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白酒; 薄荷酒; 餐后酒（利口酒和烈酒）</t>
    </r>
  </si>
  <si>
    <r>
      <t>蔺</t>
    </r>
    <r>
      <rPr>
        <sz val="11"/>
        <color theme="1"/>
        <rFont val="ＭＳ Ｐゴシック"/>
        <family val="3"/>
        <charset val="128"/>
        <scheme val="minor"/>
      </rPr>
      <t>旺酒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</si>
  <si>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露酒; 白酒;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</t>
    </r>
  </si>
  <si>
    <r>
      <t>玖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金刀</t>
    </r>
  </si>
  <si>
    <t>梁淑勤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</si>
  <si>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威士忌;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</si>
  <si>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麦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村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</si>
  <si>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州福吉商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</si>
  <si>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开胃酒; 葡萄酒; 食用酒精;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</t>
    </r>
  </si>
  <si>
    <t>虎将文官</t>
  </si>
  <si>
    <r>
      <t>杨晓</t>
    </r>
    <r>
      <rPr>
        <sz val="11"/>
        <color theme="1"/>
        <rFont val="ＭＳ Ｐゴシック"/>
        <family val="3"/>
        <charset val="128"/>
        <scheme val="minor"/>
      </rPr>
      <t>丹</t>
    </r>
  </si>
  <si>
    <r>
      <t xml:space="preserve">高粱酒; 白酒; 米酒;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</si>
  <si>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水西</t>
    </r>
    <r>
      <rPr>
        <sz val="11"/>
        <color theme="1"/>
        <rFont val="ＭＳ Ｐゴシック"/>
        <family val="3"/>
        <charset val="134"/>
        <scheme val="minor"/>
      </rPr>
      <t>龙宫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</si>
  <si>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万菊</t>
    </r>
  </si>
  <si>
    <r>
      <t>米酒; 白酒; 果酒;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</si>
  <si>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呆萌爵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</si>
  <si>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</si>
  <si>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青漪一滴香</t>
  </si>
  <si>
    <r>
      <t>吴川市川谷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</si>
  <si>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清酒;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烈酒; 白酒; 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</si>
  <si>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t>江北水城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</si>
  <si>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慈母湖文化旅游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</si>
  <si>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食用酒精;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果酒（含酒精）; 蜂蜜酒; 黄酒; 开胃酒; 米酒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</si>
  <si>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霖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</si>
  <si>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葆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</si>
  <si>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伏特加酒; 开胃酒; 葡萄酒; 黄酒; 果酒（含酒精）; 米酒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</si>
  <si>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椎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</si>
  <si>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白酒; 葡萄酒; 苹果酒; 米酒; 黄酒</t>
    </r>
  </si>
  <si>
    <r>
      <t>雪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山冰白</t>
    </r>
  </si>
  <si>
    <r>
      <t>吉林雪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山葡萄酒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</si>
  <si>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白葡萄酒;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</si>
  <si>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畅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</si>
  <si>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沙盛捷酒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</si>
  <si>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利口酒; 伏特加酒;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</si>
  <si>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曼奥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</si>
  <si>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葡萄酒; 伏特加酒; 果酒（含酒精）;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</si>
  <si>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太古如初</t>
  </si>
  <si>
    <r>
      <t>利好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品（</t>
    </r>
    <r>
      <rPr>
        <sz val="11"/>
        <color theme="1"/>
        <rFont val="ＭＳ Ｐゴシック"/>
        <family val="3"/>
        <charset val="134"/>
        <scheme val="minor"/>
      </rPr>
      <t>辽</t>
    </r>
    <r>
      <rPr>
        <sz val="11"/>
        <color theme="1"/>
        <rFont val="ＭＳ Ｐゴシック"/>
        <family val="3"/>
        <charset val="128"/>
        <scheme val="minor"/>
      </rPr>
      <t>宁）商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</si>
  <si>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葡萄酒;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刺五加酒;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</t>
    </r>
  </si>
  <si>
    <r>
      <t>阁</t>
    </r>
    <r>
      <rPr>
        <sz val="11"/>
        <color theme="1"/>
        <rFont val="ＭＳ Ｐゴシック"/>
        <family val="3"/>
        <charset val="128"/>
        <scheme val="minor"/>
      </rPr>
      <t>仕</t>
    </r>
    <r>
      <rPr>
        <sz val="11"/>
        <color theme="1"/>
        <rFont val="ＭＳ Ｐゴシック"/>
        <family val="3"/>
        <charset val="134"/>
        <scheme val="minor"/>
      </rPr>
      <t>珑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</si>
  <si>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食用酒精;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果酒（含酒精）;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</si>
  <si>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禧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盾</t>
    </r>
  </si>
  <si>
    <r>
      <t>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伏特加酒; 白酒</t>
    </r>
  </si>
  <si>
    <t>思牟</t>
  </si>
  <si>
    <r>
      <t>河南名鼎酒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</si>
  <si>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</t>
    </r>
  </si>
  <si>
    <r>
      <t>垫</t>
    </r>
    <r>
      <rPr>
        <sz val="11"/>
        <color theme="1"/>
        <rFont val="ＭＳ Ｐゴシック"/>
        <family val="3"/>
        <charset val="128"/>
        <scheme val="minor"/>
      </rPr>
      <t>隆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</si>
  <si>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市富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</si>
  <si>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</si>
  <si>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茗美</t>
    </r>
  </si>
  <si>
    <r>
      <t>上海酉米酒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</si>
  <si>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伏特加酒; 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</si>
  <si>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久小萌</t>
  </si>
  <si>
    <t>浙江久加久科技股份有限公司</t>
  </si>
  <si>
    <r>
      <t>开胃酒;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</si>
  <si>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塔拉荣耀</t>
  </si>
  <si>
    <r>
      <t>内蒙古沛妤商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</si>
  <si>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梅酒; 烈酒; 果酒（含酒精）; 开胃酒; 葡萄酒;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</si>
  <si>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家小白</t>
  </si>
  <si>
    <r>
      <t>成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区江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熊都商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</si>
  <si>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梅酒; 白酒; 青稞酒; 果酒; 葡萄酒; 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茴香酒</t>
    </r>
  </si>
  <si>
    <r>
      <t>宏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策韵</t>
    </r>
  </si>
  <si>
    <r>
      <t>安徽省宏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工程咨</t>
    </r>
    <r>
      <rPr>
        <sz val="11"/>
        <color theme="1"/>
        <rFont val="ＭＳ Ｐゴシック"/>
        <family val="3"/>
        <charset val="134"/>
        <scheme val="minor"/>
      </rPr>
      <t>询设计</t>
    </r>
    <r>
      <rPr>
        <sz val="11"/>
        <color theme="1"/>
        <rFont val="ＭＳ Ｐゴシック"/>
        <family val="3"/>
        <charset val="128"/>
        <scheme val="minor"/>
      </rPr>
      <t>研究院有限公司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</si>
  <si>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餐后酒（利口酒和烈酒）; 葡萄酒; 清酒（日本米酒）; 甜酒; 青稞酒; 黄酒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</si>
  <si>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黄酒;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</si>
  <si>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贵顺</t>
    </r>
    <r>
      <rPr>
        <sz val="11"/>
        <color theme="1"/>
        <rFont val="ＭＳ Ｐゴシック"/>
        <family val="3"/>
        <charset val="128"/>
        <scheme val="minor"/>
      </rPr>
      <t>昌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</si>
  <si>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昌</t>
    </r>
  </si>
  <si>
    <r>
      <t>果酒（含酒精）;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</si>
  <si>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蔚君奉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</si>
  <si>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</si>
  <si>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梨酒;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</si>
  <si>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腾</t>
    </r>
    <r>
      <rPr>
        <sz val="11"/>
        <color theme="1"/>
        <rFont val="ＭＳ Ｐゴシック"/>
        <family val="3"/>
        <charset val="128"/>
        <scheme val="minor"/>
      </rPr>
      <t>村坊</t>
    </r>
  </si>
  <si>
    <r>
      <t>梁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</si>
  <si>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白酒;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</si>
  <si>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墨如道</t>
  </si>
  <si>
    <r>
      <t>冯</t>
    </r>
    <r>
      <rPr>
        <sz val="11"/>
        <color theme="1"/>
        <rFont val="ＭＳ Ｐゴシック"/>
        <family val="3"/>
        <charset val="128"/>
        <scheme val="minor"/>
      </rPr>
      <t>建宁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</si>
  <si>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果酒（含酒精）; 白酒; 青稞酒; 蜂蜜酒</t>
    </r>
  </si>
  <si>
    <r>
      <t>森大集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</si>
  <si>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含酒精的气泡水; 餐后酒（利口酒和烈酒）;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</si>
  <si>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浙小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</si>
  <si>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吴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榜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</si>
  <si>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葡萄酒; 威士忌; 蜂蜜酒; 清酒（日本米酒）; 白酒;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</si>
  <si>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弥勒市</t>
    </r>
    <r>
      <rPr>
        <sz val="11"/>
        <color theme="1"/>
        <rFont val="ＭＳ Ｐゴシック"/>
        <family val="3"/>
        <charset val="134"/>
        <scheme val="minor"/>
      </rPr>
      <t>东风农场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</si>
  <si>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伏特加酒; 黄酒; 葡萄酒;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食用酒精; 清酒（日本米酒）</t>
    </r>
  </si>
  <si>
    <t>青春九喜</t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</si>
  <si>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市九家酒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</si>
  <si>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黄酒; 食用酒精; 苹果酒; 葡萄酒</t>
    </r>
  </si>
  <si>
    <t>牟都</t>
  </si>
  <si>
    <r>
      <t>葡萄酒; 朗姆酒;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汽酒</t>
    </r>
  </si>
  <si>
    <r>
      <t>热</t>
    </r>
    <r>
      <rPr>
        <sz val="11"/>
        <color theme="1"/>
        <rFont val="ＭＳ Ｐゴシック"/>
        <family val="3"/>
        <charset val="128"/>
        <scheme val="minor"/>
      </rPr>
      <t>冬升</t>
    </r>
  </si>
  <si>
    <t>刘超</t>
  </si>
  <si>
    <r>
      <t>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果酒（含酒精）</t>
    </r>
  </si>
  <si>
    <t>花意醇香</t>
  </si>
  <si>
    <r>
      <t>户</t>
    </r>
    <r>
      <rPr>
        <sz val="11"/>
        <color theme="1"/>
        <rFont val="ＭＳ Ｐゴシック"/>
        <family val="3"/>
        <charset val="128"/>
        <scheme val="minor"/>
      </rPr>
      <t>磊</t>
    </r>
  </si>
  <si>
    <r>
      <t>薄荷酒; 葡萄酒;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黄酒;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</si>
  <si>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班</t>
    </r>
    <r>
      <rPr>
        <sz val="11"/>
        <color theme="1"/>
        <rFont val="ＭＳ Ｐゴシック"/>
        <family val="3"/>
        <charset val="134"/>
        <scheme val="minor"/>
      </rPr>
      <t>长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</si>
  <si>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桂梅</t>
    </r>
  </si>
  <si>
    <t>白酒; 果酒; 高粱酒; 葡萄酒; 露酒; 清酒; 梅酒; 米酒; 青稞酒; 黄酒</t>
  </si>
  <si>
    <r>
      <t>行者</t>
    </r>
    <r>
      <rPr>
        <sz val="11"/>
        <color theme="1"/>
        <rFont val="ＭＳ Ｐゴシック"/>
        <family val="3"/>
        <charset val="134"/>
        <scheme val="minor"/>
      </rPr>
      <t>论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</si>
  <si>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走向健康管理有限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</si>
  <si>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蜂蜜酒;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果酒; 高粱酒;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</si>
  <si>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唐果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</si>
  <si>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常州溢</t>
    </r>
    <r>
      <rPr>
        <sz val="11"/>
        <color theme="1"/>
        <rFont val="ＭＳ Ｐゴシック"/>
        <family val="3"/>
        <charset val="134"/>
        <scheme val="minor"/>
      </rPr>
      <t>盏</t>
    </r>
    <r>
      <rPr>
        <sz val="11"/>
        <color theme="1"/>
        <rFont val="ＭＳ Ｐゴシック"/>
        <family val="3"/>
        <charset val="128"/>
        <scheme val="minor"/>
      </rPr>
      <t>茶茶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</si>
  <si>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黄酒; 葡萄酒;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</t>
    </r>
  </si>
  <si>
    <t>常宜安君</t>
  </si>
  <si>
    <r>
      <t>泰安市泰山景区无恙堂健康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</si>
  <si>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果酒; 露酒; 葡萄酒; 甜酒; 黄酒; 白酒; 清酒;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</si>
  <si>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家</t>
    </r>
    <r>
      <rPr>
        <sz val="11"/>
        <color theme="1"/>
        <rFont val="ＭＳ Ｐゴシック"/>
        <family val="3"/>
        <charset val="134"/>
        <scheme val="minor"/>
      </rPr>
      <t>玮</t>
    </r>
    <r>
      <rPr>
        <sz val="11"/>
        <color theme="1"/>
        <rFont val="ＭＳ Ｐゴシック"/>
        <family val="3"/>
        <charset val="128"/>
        <scheme val="minor"/>
      </rPr>
      <t>如玉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</si>
  <si>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茅</t>
    </r>
    <r>
      <rPr>
        <sz val="11"/>
        <color theme="1"/>
        <rFont val="ＭＳ Ｐゴシック"/>
        <family val="3"/>
        <charset val="134"/>
        <scheme val="minor"/>
      </rPr>
      <t>琼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</si>
  <si>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露酒;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</si>
  <si>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甸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</si>
  <si>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李国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</si>
  <si>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利口酒; 开胃酒;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甜酒;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</t>
    </r>
  </si>
  <si>
    <t>存荣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</si>
  <si>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</t>
    </r>
  </si>
  <si>
    <r>
      <t>阴山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脉</t>
    </r>
  </si>
  <si>
    <r>
      <t>内蒙古世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呼白酒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</si>
  <si>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</si>
  <si>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可痕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</si>
  <si>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西巨子生物技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</si>
  <si>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杜松子酒;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</si>
  <si>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苁</t>
    </r>
    <r>
      <rPr>
        <sz val="11"/>
        <color theme="1"/>
        <rFont val="ＭＳ Ｐゴシック"/>
        <family val="3"/>
        <charset val="128"/>
        <scheme val="minor"/>
      </rPr>
      <t>灵露</t>
    </r>
  </si>
  <si>
    <r>
      <t>靖</t>
    </r>
    <r>
      <rPr>
        <sz val="11"/>
        <color theme="1"/>
        <rFont val="ＭＳ Ｐゴシック"/>
        <family val="3"/>
        <charset val="134"/>
        <scheme val="minor"/>
      </rPr>
      <t>边县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润农业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</si>
  <si>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</si>
  <si>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丁·耀尚</t>
    </r>
  </si>
  <si>
    <r>
      <t>食用酒精; 果酒（含酒精）; 威士忌; 白酒; 葡萄酒; 利口酒;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</si>
  <si>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鹿元皇</t>
  </si>
  <si>
    <r>
      <t>伍玖捌(天津)科技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</si>
  <si>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</si>
  <si>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EVER AMOR</t>
  </si>
  <si>
    <t>丘道平</t>
  </si>
  <si>
    <r>
      <t>清酒（日本米酒）;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烈酒; 黄酒;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</si>
  <si>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悠然昔</t>
    </r>
    <r>
      <rPr>
        <sz val="11"/>
        <color theme="1"/>
        <rFont val="ＭＳ Ｐゴシック"/>
        <family val="3"/>
        <charset val="134"/>
        <scheme val="minor"/>
      </rPr>
      <t>忆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</si>
  <si>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焕</t>
    </r>
  </si>
  <si>
    <r>
      <t xml:space="preserve">青稞酒; 米酒; 黄酒; 果酒;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白酒</t>
    </r>
  </si>
  <si>
    <r>
      <t>艾哈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</si>
  <si>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永斌</t>
    </r>
  </si>
  <si>
    <r>
      <t>葡萄酒; 威士忌; 薄荷酒; 米酒; 黄酒; 果酒（含酒精）; 蜂蜜酒;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苹果酒</t>
    </r>
  </si>
  <si>
    <t>武醉候</t>
  </si>
  <si>
    <r>
      <t>云南国恩企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</si>
  <si>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高粱酒;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</si>
  <si>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仃·金禧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</si>
  <si>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威士忌; 白酒; 食用酒精; 利口酒; 葡萄酒</t>
    </r>
  </si>
  <si>
    <t>古小香</t>
  </si>
  <si>
    <r>
      <t>成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区森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</si>
  <si>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 xml:space="preserve">梅酒;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茴香酒; 果酒;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</t>
    </r>
  </si>
  <si>
    <r>
      <t>破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</si>
  <si>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春礼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会礼品有限公司</t>
    </r>
  </si>
  <si>
    <r>
      <t xml:space="preserve">葡萄酒; 佐餐酒;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露酒;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</t>
    </r>
  </si>
  <si>
    <r>
      <t>领</t>
    </r>
    <r>
      <rPr>
        <sz val="11"/>
        <color theme="1"/>
        <rFont val="ＭＳ Ｐゴシック"/>
        <family val="3"/>
        <charset val="128"/>
        <scheme val="minor"/>
      </rPr>
      <t>酷皇禧</t>
    </r>
  </si>
  <si>
    <r>
      <t>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</si>
  <si>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御美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</si>
  <si>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磊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</si>
  <si>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威士忌</t>
    </r>
  </si>
  <si>
    <t>CASEBANG</t>
  </si>
  <si>
    <t>深圳市壳邦科技有限公司</t>
  </si>
  <si>
    <t>水魁冲</t>
  </si>
  <si>
    <r>
      <t>罗爱</t>
    </r>
    <r>
      <rPr>
        <sz val="11"/>
        <color theme="1"/>
        <rFont val="ＭＳ Ｐゴシック"/>
        <family val="3"/>
        <charset val="128"/>
        <scheme val="minor"/>
      </rPr>
      <t>云</t>
    </r>
  </si>
  <si>
    <r>
      <t xml:space="preserve">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汽酒</t>
    </r>
  </si>
  <si>
    <r>
      <t>直</t>
    </r>
    <r>
      <rPr>
        <sz val="11"/>
        <color theme="1"/>
        <rFont val="ＭＳ Ｐゴシック"/>
        <family val="3"/>
        <charset val="134"/>
        <scheme val="minor"/>
      </rPr>
      <t>钎琻</t>
    </r>
  </si>
  <si>
    <r>
      <t>柳州市君及商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</si>
  <si>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苹果酒; 餐后酒（利口酒和烈酒）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</si>
  <si>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味林</t>
    </r>
  </si>
  <si>
    <t>蒋臣礼</t>
  </si>
  <si>
    <r>
      <t>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开胃酒; 葡萄酒; 利口酒;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</si>
  <si>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豫米皇酒</t>
  </si>
  <si>
    <r>
      <t>平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山市金霖皇酒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</si>
  <si>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苹果酒;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</si>
  <si>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冠湛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</si>
  <si>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雄悦文化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</si>
  <si>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汽酒; 葡萄酒; 梨酒;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米酒</t>
    </r>
  </si>
  <si>
    <r>
      <t>领</t>
    </r>
    <r>
      <rPr>
        <sz val="11"/>
        <color theme="1"/>
        <rFont val="ＭＳ Ｐゴシック"/>
        <family val="3"/>
        <charset val="128"/>
        <scheme val="minor"/>
      </rPr>
      <t>酷皇爵</t>
    </r>
  </si>
  <si>
    <r>
      <t>威士忌; 白酒; 食用酒精; 伏特加酒;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</t>
    </r>
  </si>
  <si>
    <r>
      <t>盈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堂上工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</si>
  <si>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言鼎控股集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</si>
  <si>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</si>
  <si>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r>
      <t>霸</t>
    </r>
    <r>
      <rPr>
        <sz val="11"/>
        <color theme="1"/>
        <rFont val="ＭＳ Ｐゴシック"/>
        <family val="3"/>
        <charset val="134"/>
        <scheme val="minor"/>
      </rPr>
      <t>鸠</t>
    </r>
    <r>
      <rPr>
        <sz val="11"/>
        <color theme="1"/>
        <rFont val="ＭＳ Ｐゴシック"/>
        <family val="3"/>
        <charset val="128"/>
        <scheme val="minor"/>
      </rPr>
      <t>歌</t>
    </r>
  </si>
  <si>
    <t>刘想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</si>
  <si>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</t>
    </r>
  </si>
  <si>
    <r>
      <t>春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暖</t>
    </r>
  </si>
  <si>
    <r>
      <t>保定弘正</t>
    </r>
    <r>
      <rPr>
        <sz val="11"/>
        <color theme="1"/>
        <rFont val="ＭＳ Ｐゴシック"/>
        <family val="3"/>
        <charset val="134"/>
        <scheme val="minor"/>
      </rPr>
      <t>检测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</si>
  <si>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</si>
  <si>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r>
      <t>岭南江山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禧</t>
    </r>
  </si>
  <si>
    <r>
      <t>塔格（惠州）商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</si>
  <si>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</si>
  <si>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耿悦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</si>
  <si>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白酒; 食用酒精; 果酒（含酒精）; 黄酒; 威士忌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</si>
  <si>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季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</si>
  <si>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国有</t>
    </r>
  </si>
  <si>
    <r>
      <t xml:space="preserve">清酒（日本米酒）; 白酒; 米酒;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果酒（含酒精）</t>
    </r>
  </si>
  <si>
    <r>
      <t>枞</t>
    </r>
    <r>
      <rPr>
        <sz val="11"/>
        <color theme="1"/>
        <rFont val="ＭＳ Ｐゴシック"/>
        <family val="3"/>
        <charset val="128"/>
        <scheme val="minor"/>
      </rPr>
      <t>云春</t>
    </r>
  </si>
  <si>
    <r>
      <t>柯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安</t>
    </r>
  </si>
  <si>
    <r>
      <t xml:space="preserve">果酒（含酒精）; 黄酒;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</si>
  <si>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领</t>
    </r>
    <r>
      <rPr>
        <sz val="11"/>
        <color theme="1"/>
        <rFont val="ＭＳ Ｐゴシック"/>
        <family val="3"/>
        <charset val="128"/>
        <scheme val="minor"/>
      </rPr>
      <t>酷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</si>
  <si>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葡萄酒</t>
    </r>
  </si>
  <si>
    <t>祥鼎成</t>
  </si>
  <si>
    <r>
      <t>沙依巴克区炉院街佑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</si>
  <si>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</si>
  <si>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倡</t>
    </r>
    <r>
      <rPr>
        <sz val="11"/>
        <color theme="1"/>
        <rFont val="ＭＳ Ｐゴシック"/>
        <family val="3"/>
        <charset val="134"/>
        <scheme val="minor"/>
      </rPr>
      <t>贤</t>
    </r>
  </si>
  <si>
    <r>
      <t>冉昌</t>
    </r>
    <r>
      <rPr>
        <sz val="11"/>
        <color theme="1"/>
        <rFont val="ＭＳ Ｐゴシック"/>
        <family val="3"/>
        <charset val="134"/>
        <scheme val="minor"/>
      </rPr>
      <t>义</t>
    </r>
  </si>
  <si>
    <r>
      <t>露酒; 果酒（含酒精）;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</si>
  <si>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t>泰伯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</si>
  <si>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市五十三度酒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</si>
  <si>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米酒; 开胃酒; 蜂蜜酒; 清酒</t>
    </r>
  </si>
  <si>
    <t>承启雅集</t>
  </si>
  <si>
    <t>卓添</t>
  </si>
  <si>
    <r>
      <t>米酒; 白酒;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露酒; 青梅酒;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梅酒; 威士忌</t>
    </r>
  </si>
  <si>
    <r>
      <t>晋阳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</si>
  <si>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山西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易天景文化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</si>
  <si>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果酒（含酒精）; 黄酒</t>
    </r>
  </si>
  <si>
    <r>
      <t>天樽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</si>
  <si>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成都左</t>
    </r>
    <r>
      <rPr>
        <sz val="11"/>
        <color theme="1"/>
        <rFont val="ＭＳ Ｐゴシック"/>
        <family val="3"/>
        <charset val="134"/>
        <scheme val="minor"/>
      </rPr>
      <t>宽</t>
    </r>
    <r>
      <rPr>
        <sz val="11"/>
        <color theme="1"/>
        <rFont val="ＭＳ Ｐゴシック"/>
        <family val="3"/>
        <charset val="128"/>
        <scheme val="minor"/>
      </rPr>
      <t>右厚酒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</si>
  <si>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露酒;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果酒（含酒精）; 米酒; 梨酒; 清酒（日本米酒）; 白酒</t>
    </r>
  </si>
  <si>
    <t>潘安湖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</si>
  <si>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好嫂子食品科技有限公司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</si>
  <si>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米酒; 苹果酒; 青稞酒; 开胃酒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</si>
  <si>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丁·</t>
    </r>
    <r>
      <rPr>
        <sz val="11"/>
        <color theme="1"/>
        <rFont val="ＭＳ Ｐゴシック"/>
        <family val="3"/>
        <charset val="134"/>
        <scheme val="minor"/>
      </rPr>
      <t>擀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</si>
  <si>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白酒; 葡萄酒; 食用酒精; 利口酒;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</si>
  <si>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运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</si>
  <si>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市印尊包装有限公司</t>
    </r>
  </si>
  <si>
    <r>
      <t xml:space="preserve">葡萄酒; 米酒;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烈酒; 白酒; 露酒; 高粱酒</t>
    </r>
  </si>
  <si>
    <t>府城番客</t>
  </si>
  <si>
    <r>
      <t>黄妙</t>
    </r>
    <r>
      <rPr>
        <sz val="11"/>
        <color theme="1"/>
        <rFont val="ＭＳ Ｐゴシック"/>
        <family val="3"/>
        <charset val="134"/>
        <scheme val="minor"/>
      </rPr>
      <t>钿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</si>
  <si>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果酒; 威士忌;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</si>
  <si>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钰</t>
    </r>
    <r>
      <rPr>
        <sz val="11"/>
        <color theme="1"/>
        <rFont val="ＭＳ Ｐゴシック"/>
        <family val="3"/>
        <charset val="128"/>
        <scheme val="minor"/>
      </rPr>
      <t>世天下</t>
    </r>
  </si>
  <si>
    <t>樊俊歧</t>
  </si>
  <si>
    <r>
      <t>开胃酒;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</si>
  <si>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姼姩</t>
  </si>
  <si>
    <r>
      <t>河北</t>
    </r>
    <r>
      <rPr>
        <sz val="11"/>
        <color theme="1"/>
        <rFont val="ＭＳ Ｐゴシック"/>
        <family val="3"/>
        <charset val="134"/>
        <scheme val="minor"/>
      </rPr>
      <t>鸾</t>
    </r>
    <r>
      <rPr>
        <sz val="11"/>
        <color theme="1"/>
        <rFont val="ＭＳ Ｐゴシック"/>
        <family val="3"/>
        <charset val="128"/>
        <scheme val="minor"/>
      </rPr>
      <t>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</si>
  <si>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白葡萄酒;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黄酒;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</si>
  <si>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郭招金</t>
  </si>
  <si>
    <r>
      <t>蔡文</t>
    </r>
    <r>
      <rPr>
        <sz val="11"/>
        <color theme="1"/>
        <rFont val="ＭＳ Ｐゴシック"/>
        <family val="3"/>
        <charset val="134"/>
        <scheme val="minor"/>
      </rPr>
      <t>钦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</si>
  <si>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</si>
  <si>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t>FLYING JOKERS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</si>
  <si>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乐尔</t>
    </r>
    <r>
      <rPr>
        <sz val="11"/>
        <color theme="1"/>
        <rFont val="ＭＳ Ｐゴシック"/>
        <family val="3"/>
        <charset val="128"/>
        <scheme val="minor"/>
      </rPr>
      <t>夫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</si>
  <si>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米酒; 白葡萄酒;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混合威士忌酒;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</si>
  <si>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丁·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</si>
  <si>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威士忌; 白酒; 食用酒精;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</si>
  <si>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煮羊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</si>
  <si>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中刷网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</si>
  <si>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甜酒; 葡萄酒; 汽酒; 黄酒; 果酒（含酒精）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</si>
  <si>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禧</t>
    </r>
  </si>
  <si>
    <r>
      <t>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葡萄酒; 白酒</t>
    </r>
  </si>
  <si>
    <r>
      <t>始</t>
    </r>
    <r>
      <rPr>
        <sz val="11"/>
        <color theme="1"/>
        <rFont val="ＭＳ Ｐゴシック"/>
        <family val="3"/>
        <charset val="134"/>
        <scheme val="minor"/>
      </rPr>
      <t>兴县兴</t>
    </r>
    <r>
      <rPr>
        <sz val="11"/>
        <color theme="1"/>
        <rFont val="ＭＳ Ｐゴシック"/>
        <family val="3"/>
        <charset val="128"/>
        <scheme val="minor"/>
      </rPr>
      <t>澄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富村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</si>
  <si>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米酒; 开胃酒;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葡萄酒;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</si>
  <si>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禧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</si>
  <si>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</si>
  <si>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禧尚品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</si>
  <si>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伏特加酒; 威士忌;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</si>
  <si>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鑫广福</t>
  </si>
  <si>
    <r>
      <t>广州鑫</t>
    </r>
    <r>
      <rPr>
        <sz val="11"/>
        <color theme="1"/>
        <rFont val="ＭＳ Ｐゴシック"/>
        <family val="3"/>
        <charset val="134"/>
        <scheme val="minor"/>
      </rPr>
      <t>钰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</si>
  <si>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麦芽威士忌;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白酒; 白干酒（中国白酒）;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</si>
  <si>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晶</t>
    </r>
    <r>
      <rPr>
        <sz val="11"/>
        <color theme="1"/>
        <rFont val="ＭＳ Ｐゴシック"/>
        <family val="3"/>
        <charset val="134"/>
        <scheme val="minor"/>
      </rPr>
      <t>砖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</si>
  <si>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州白酒庄园投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</si>
  <si>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葡萄酒;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</si>
  <si>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邕州老爹</t>
  </si>
  <si>
    <r>
      <t>胡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</si>
  <si>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梅酒; 露酒;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黄酒; 果酒</t>
    </r>
  </si>
  <si>
    <r>
      <t>库</t>
    </r>
    <r>
      <rPr>
        <sz val="11"/>
        <color theme="1"/>
        <rFont val="ＭＳ Ｐゴシック"/>
        <family val="3"/>
        <charset val="128"/>
        <scheme val="minor"/>
      </rPr>
      <t>蝶</t>
    </r>
  </si>
  <si>
    <t>彭嘉正</t>
  </si>
  <si>
    <r>
      <t xml:space="preserve">烈酒; 白干酒（中国白酒）; 蒸煮提取物（利口酒和烈酒）;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</si>
  <si>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藤客拾酒</t>
  </si>
  <si>
    <r>
      <t>华</t>
    </r>
    <r>
      <rPr>
        <sz val="11"/>
        <color theme="1"/>
        <rFont val="ＭＳ Ｐゴシック"/>
        <family val="3"/>
        <charset val="128"/>
        <scheme val="minor"/>
      </rPr>
      <t>志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</si>
  <si>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果酒（含酒精）;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</si>
  <si>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尹川老作坊</t>
  </si>
  <si>
    <r>
      <t>袁冠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</si>
  <si>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米酒; 果酒（含酒精）; 葡萄酒</t>
    </r>
  </si>
  <si>
    <t>梅恬心</t>
  </si>
  <si>
    <t>王崇燕</t>
  </si>
  <si>
    <r>
      <t>葡萄酒; 青梅酒; 果酒（含酒精）; 白酒; 甜果酒;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</si>
  <si>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呈盈盈</t>
  </si>
  <si>
    <t>吴舒舒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</si>
  <si>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</si>
  <si>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杰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夜曲</t>
    </r>
  </si>
  <si>
    <r>
      <t>康小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</si>
  <si>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白酒; 葡萄酒; 果酒;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茴香酒（利口酒）; 米酒; 蒸煮提取物（利口酒和烈酒）</t>
    </r>
  </si>
  <si>
    <r>
      <t>珍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思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</si>
  <si>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州珍</t>
    </r>
    <r>
      <rPr>
        <sz val="11"/>
        <color theme="1"/>
        <rFont val="ＭＳ Ｐゴシック"/>
        <family val="3"/>
        <charset val="134"/>
        <scheme val="minor"/>
      </rPr>
      <t>晖贸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</si>
  <si>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蒸煮提取物（利口酒和烈酒）; 利口酒; 米酒; 白酒; 茴香酒（利口酒）;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</si>
  <si>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t>KAREL CAPEK</t>
  </si>
  <si>
    <t>周娟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</si>
  <si>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杜松子酒</t>
    </r>
  </si>
  <si>
    <r>
      <t>善</t>
    </r>
    <r>
      <rPr>
        <sz val="11"/>
        <color theme="1"/>
        <rFont val="ＭＳ Ｐゴシック"/>
        <family val="3"/>
        <charset val="134"/>
        <scheme val="minor"/>
      </rPr>
      <t>汉贡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</si>
  <si>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天</t>
    </r>
    <r>
      <rPr>
        <sz val="11"/>
        <color theme="1"/>
        <rFont val="ＭＳ Ｐゴシック"/>
        <family val="3"/>
        <charset val="134"/>
        <scheme val="minor"/>
      </rPr>
      <t>珑实业发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</si>
  <si>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开胃酒; 食用酒精;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</t>
    </r>
  </si>
  <si>
    <r>
      <t>八蹄</t>
    </r>
    <r>
      <rPr>
        <sz val="11"/>
        <color theme="1"/>
        <rFont val="ＭＳ Ｐゴシック"/>
        <family val="3"/>
        <charset val="134"/>
        <scheme val="minor"/>
      </rPr>
      <t>马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</si>
  <si>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</si>
  <si>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果酒（含酒精）;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米酒; 甜酒; 高粱酒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</si>
  <si>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北老且</t>
    </r>
  </si>
  <si>
    <t>王松</t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</si>
  <si>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青稞酒; 果酒（含酒精）; 高粱酒;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</si>
  <si>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厚遇</t>
  </si>
  <si>
    <r>
      <t>周</t>
    </r>
    <r>
      <rPr>
        <sz val="11"/>
        <color theme="1"/>
        <rFont val="ＭＳ Ｐゴシック"/>
        <family val="3"/>
        <charset val="134"/>
        <scheme val="minor"/>
      </rPr>
      <t>顺凤</t>
    </r>
  </si>
  <si>
    <r>
      <t xml:space="preserve">米酒; 开胃酒; 梨酒;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利口酒; 葡萄酒; 清酒（日本米酒）; 黄酒</t>
    </r>
  </si>
  <si>
    <t>物研社</t>
  </si>
  <si>
    <r>
      <t>曾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克</t>
    </r>
  </si>
  <si>
    <t>开胃酒; 汽酒; 白酒; 甜酒; 食用酒精; 葡萄酒; 黄酒; 果酒; 清酒; 米酒</t>
  </si>
  <si>
    <t>名小台</t>
  </si>
  <si>
    <r>
      <t>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</si>
  <si>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航牡云仙</t>
  </si>
  <si>
    <r>
      <t>宿迁市养生源酒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</si>
  <si>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蒸煮提取物（利口酒和烈酒）;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伏特加酒;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</si>
  <si>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千帆</t>
    </r>
    <r>
      <rPr>
        <sz val="11"/>
        <color theme="1"/>
        <rFont val="ＭＳ Ｐゴシック"/>
        <family val="3"/>
        <charset val="134"/>
        <scheme val="minor"/>
      </rPr>
      <t>竞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</si>
  <si>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运河之都生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</si>
  <si>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果酒（含酒精）</t>
    </r>
  </si>
  <si>
    <t>吱欧周</t>
  </si>
  <si>
    <r>
      <t>周礼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</si>
  <si>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威士忌; 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</si>
  <si>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昊舜</t>
  </si>
  <si>
    <r>
      <t>新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市昊昱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</si>
  <si>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黄酒; 葡萄酒; 果酒（含酒精）;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</si>
  <si>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瓯渠武医</t>
  </si>
  <si>
    <t>吴建利</t>
  </si>
  <si>
    <r>
      <t xml:space="preserve">白干酒（中国白酒）;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蜂蜜酒; 白酒</t>
    </r>
  </si>
  <si>
    <t>承英</t>
  </si>
  <si>
    <r>
      <t>广州辰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</si>
  <si>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茴香酒（利口酒）;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杜松子酒;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</si>
  <si>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r>
      <t>酉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曲</t>
    </r>
  </si>
  <si>
    <t>任芳明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</si>
  <si>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开胃酒; 葡萄酒; 清酒（日本米酒）; 黄酒</t>
    </r>
  </si>
  <si>
    <t>舒九匠</t>
  </si>
  <si>
    <r>
      <t>安徽天蓬家园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</si>
  <si>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青稞酒;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</si>
  <si>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造客</t>
  </si>
  <si>
    <t>李江波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</si>
  <si>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汽酒; 葡萄酒</t>
    </r>
  </si>
  <si>
    <t>泉城明珠</t>
  </si>
  <si>
    <r>
      <t>吴志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</si>
  <si>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米酒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</si>
  <si>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禾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佰</t>
    </r>
  </si>
  <si>
    <r>
      <t>昆明繁子商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</si>
  <si>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白干酒（中国白酒）; 米酒</t>
    </r>
  </si>
  <si>
    <t>御池君</t>
  </si>
  <si>
    <r>
      <t>马</t>
    </r>
    <r>
      <rPr>
        <sz val="11"/>
        <color theme="1"/>
        <rFont val="ＭＳ Ｐゴシック"/>
        <family val="3"/>
        <charset val="128"/>
        <scheme val="minor"/>
      </rPr>
      <t>俊睿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</si>
  <si>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清酒（日本米酒）; 烈酒; 黄酒; 白酒; 开胃酒; 威士忌</t>
    </r>
  </si>
  <si>
    <t>望果山</t>
  </si>
  <si>
    <r>
      <t>保定市</t>
    </r>
    <r>
      <rPr>
        <sz val="11"/>
        <color theme="1"/>
        <rFont val="ＭＳ Ｐゴシック"/>
        <family val="3"/>
        <charset val="134"/>
        <scheme val="minor"/>
      </rPr>
      <t>华伟</t>
    </r>
    <r>
      <rPr>
        <sz val="11"/>
        <color theme="1"/>
        <rFont val="ＭＳ Ｐゴシック"/>
        <family val="3"/>
        <charset val="128"/>
        <scheme val="minor"/>
      </rPr>
      <t>梁行商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</si>
  <si>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葡萄酒; 食用酒精;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甜果酒; 梅酒; 开胃酒</t>
    </r>
  </si>
  <si>
    <t>老且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</si>
  <si>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果酒（含酒精）</t>
    </r>
  </si>
  <si>
    <r>
      <t>合祖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</si>
  <si>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 xml:space="preserve">白酒; 葡萄酒; 梨酒; 黄酒; 开胃酒; 利口酒; 米酒; 清酒（日本米酒）;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</si>
  <si>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范同学</t>
  </si>
  <si>
    <r>
      <t>江西广荣食品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</si>
  <si>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蜂蜜酒; 果酒（含酒精）; 清酒（日本米酒）;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</si>
  <si>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雷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</si>
  <si>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>福建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岩城酒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</si>
  <si>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</si>
  <si>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曲天下</t>
    </r>
  </si>
  <si>
    <r>
      <t>孙灿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</si>
  <si>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白酒; 清酒; 高粱酒;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食用酒精; 白干酒（中国白酒）; 米酒; 黄酒; 葡萄酒</t>
    </r>
  </si>
  <si>
    <t>EO EXTRAVAGANTE ORNAMENTE</t>
  </si>
  <si>
    <r>
      <t>李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通</t>
    </r>
  </si>
  <si>
    <r>
      <t xml:space="preserve">果酒（含酒精）; 葡萄酒; 威士忌;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</si>
  <si>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普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</si>
  <si>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崔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丹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</si>
  <si>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蜂蜜酒; 高粱酒</t>
    </r>
  </si>
  <si>
    <t>荷携</t>
  </si>
  <si>
    <r>
      <t>广州荷</t>
    </r>
    <r>
      <rPr>
        <sz val="11"/>
        <color theme="1"/>
        <rFont val="ＭＳ Ｐゴシック"/>
        <family val="3"/>
        <charset val="134"/>
        <scheme val="minor"/>
      </rPr>
      <t>颜</t>
    </r>
    <r>
      <rPr>
        <sz val="11"/>
        <color theme="1"/>
        <rFont val="ＭＳ Ｐゴシック"/>
        <family val="3"/>
        <charset val="128"/>
        <scheme val="minor"/>
      </rPr>
      <t>盛世生物科技有限公司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</si>
  <si>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黄酒; 葡萄酒; 清酒（日本米酒）; 烈酒;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</t>
    </r>
  </si>
  <si>
    <t>索耀醇</t>
  </si>
  <si>
    <r>
      <t>汾阳市索邦盛荣耀酒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</si>
  <si>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</si>
  <si>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易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花开</t>
    </r>
  </si>
  <si>
    <t>魏冬梅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</si>
  <si>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茴芹酒（利口酒）;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</si>
  <si>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宴宁之夏</t>
  </si>
  <si>
    <t>宁夏禹羿文化科技有限公司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</si>
  <si>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白酒; 黄酒</t>
    </r>
  </si>
  <si>
    <r>
      <t>肆拾玖台</t>
    </r>
    <r>
      <rPr>
        <sz val="11"/>
        <color theme="1"/>
        <rFont val="ＭＳ Ｐゴシック"/>
        <family val="3"/>
        <charset val="134"/>
        <scheme val="minor"/>
      </rPr>
      <t>对</t>
    </r>
    <r>
      <rPr>
        <sz val="11"/>
        <color theme="1"/>
        <rFont val="ＭＳ Ｐゴシック"/>
        <family val="3"/>
        <charset val="128"/>
        <scheme val="minor"/>
      </rPr>
      <t>开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</si>
  <si>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菲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小宝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</si>
  <si>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果酒（含酒精）; 白酒;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</si>
  <si>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羽老</t>
    </r>
    <r>
      <rPr>
        <sz val="11"/>
        <color theme="1"/>
        <rFont val="ＭＳ Ｐゴシック"/>
        <family val="3"/>
        <charset val="134"/>
        <scheme val="minor"/>
      </rPr>
      <t>头</t>
    </r>
  </si>
  <si>
    <t>管羽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</si>
  <si>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</si>
  <si>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交田</t>
    </r>
  </si>
  <si>
    <r>
      <t>桂林</t>
    </r>
    <r>
      <rPr>
        <sz val="11"/>
        <color theme="1"/>
        <rFont val="ＭＳ Ｐゴシック"/>
        <family val="3"/>
        <charset val="134"/>
        <scheme val="minor"/>
      </rPr>
      <t>圆圆农业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</si>
  <si>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威士忌;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黄酒; 青梅酒</t>
    </r>
  </si>
  <si>
    <t>213</t>
  </si>
  <si>
    <t>江西二幺三数字科技有限公司</t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</si>
  <si>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葡萄酒;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含奶油利口酒;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</si>
  <si>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雷斯加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特</t>
    </r>
  </si>
  <si>
    <t>吴新意</t>
  </si>
  <si>
    <r>
      <t>苹果酒; 利口酒;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米酒</t>
    </r>
  </si>
  <si>
    <r>
      <t>卡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熊</t>
    </r>
  </si>
  <si>
    <r>
      <t>王春</t>
    </r>
    <r>
      <rPr>
        <sz val="11"/>
        <color theme="1"/>
        <rFont val="ＭＳ Ｐゴシック"/>
        <family val="3"/>
        <charset val="134"/>
        <scheme val="minor"/>
      </rPr>
      <t>跃</t>
    </r>
  </si>
  <si>
    <r>
      <t>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利口酒</t>
    </r>
  </si>
  <si>
    <t>赤梦川</t>
  </si>
  <si>
    <r>
      <t>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清酒（日本米酒）;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</t>
    </r>
  </si>
  <si>
    <t>初台酒庄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</si>
  <si>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州粮匠台酒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</si>
  <si>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白干酒（中国白酒）;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</si>
  <si>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蒙御</t>
    </r>
    <r>
      <rPr>
        <sz val="11"/>
        <color theme="1"/>
        <rFont val="ＭＳ Ｐゴシック"/>
        <family val="3"/>
        <charset val="134"/>
        <scheme val="minor"/>
      </rPr>
      <t>龙</t>
    </r>
  </si>
  <si>
    <t>高玉平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</si>
  <si>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白酒; 高粱酒</t>
    </r>
  </si>
  <si>
    <t>HEFOUENDS</t>
  </si>
  <si>
    <r>
      <t>佑恩（杭州）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</si>
  <si>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白酒; 开胃酒; 汽酒; 高粱酒; 葡萄酒; 利口酒; 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</si>
  <si>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克拉宝石光</t>
  </si>
  <si>
    <r>
      <t>谭绍</t>
    </r>
    <r>
      <rPr>
        <sz val="11"/>
        <color theme="1"/>
        <rFont val="ＭＳ Ｐゴシック"/>
        <family val="3"/>
        <charset val="128"/>
        <scheme val="minor"/>
      </rPr>
      <t>群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</si>
  <si>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薄荷酒</t>
    </r>
  </si>
  <si>
    <t>星渠</t>
  </si>
  <si>
    <t>河南品香来食品有限公司</t>
  </si>
  <si>
    <r>
      <t xml:space="preserve">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白葡萄酒; 烈酒; 黄酒; 食用酒精;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</si>
  <si>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万励</t>
  </si>
  <si>
    <r>
      <t>陈</t>
    </r>
    <r>
      <rPr>
        <sz val="11"/>
        <color theme="1"/>
        <rFont val="ＭＳ Ｐゴシック"/>
        <family val="3"/>
        <charset val="128"/>
        <scheme val="minor"/>
      </rPr>
      <t>曦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</si>
  <si>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</si>
  <si>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r>
      <t>领</t>
    </r>
    <r>
      <rPr>
        <sz val="11"/>
        <color theme="1"/>
        <rFont val="ＭＳ Ｐゴシック"/>
        <family val="3"/>
        <charset val="128"/>
        <scheme val="minor"/>
      </rPr>
      <t>酷禧邑</t>
    </r>
  </si>
  <si>
    <r>
      <t>白酒; 威士忌;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</si>
  <si>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乌兰</t>
    </r>
    <r>
      <rPr>
        <sz val="11"/>
        <color theme="1"/>
        <rFont val="ＭＳ Ｐゴシック"/>
        <family val="3"/>
        <charset val="128"/>
        <scheme val="minor"/>
      </rPr>
      <t>湖畔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</si>
  <si>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西众才云集教育科技有限公司</t>
    </r>
  </si>
  <si>
    <r>
      <t xml:space="preserve">果酒（含酒精）; 葡萄酒; 米酒; 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</si>
  <si>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妙果泡泡</t>
  </si>
  <si>
    <r>
      <t>亳州市妙泉酒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</si>
  <si>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米酒</t>
    </r>
  </si>
  <si>
    <r>
      <t>格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威特</t>
    </r>
  </si>
  <si>
    <r>
      <t>东</t>
    </r>
    <r>
      <rPr>
        <sz val="11"/>
        <color theme="1"/>
        <rFont val="ＭＳ Ｐゴシック"/>
        <family val="3"/>
        <charset val="129"/>
        <scheme val="minor"/>
      </rPr>
      <t>篱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</si>
  <si>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>广州梵尼工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</si>
  <si>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</si>
  <si>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HENRI PION</t>
  </si>
  <si>
    <t>亨利.皮昂</t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</si>
  <si>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餐后酒（利口酒和烈酒）;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</si>
  <si>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月因旨</t>
  </si>
  <si>
    <t>李麦家</t>
  </si>
  <si>
    <r>
      <t xml:space="preserve">威士忌;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蒸煮提取物（利口酒和烈酒）; 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</si>
  <si>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家</t>
    </r>
    <r>
      <rPr>
        <sz val="11"/>
        <color theme="1"/>
        <rFont val="ＭＳ Ｐゴシック"/>
        <family val="3"/>
        <charset val="134"/>
        <scheme val="minor"/>
      </rPr>
      <t>玮</t>
    </r>
    <r>
      <rPr>
        <sz val="11"/>
        <color theme="1"/>
        <rFont val="ＭＳ Ｐゴシック"/>
        <family val="3"/>
        <charset val="128"/>
        <scheme val="minor"/>
      </rPr>
      <t>佳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</si>
  <si>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米酒; 餐后酒（利口酒和烈酒）;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</si>
  <si>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天恩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百草堂</t>
    </r>
  </si>
  <si>
    <r>
      <t>河南天恩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</si>
  <si>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</si>
  <si>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誉潭</t>
  </si>
  <si>
    <r>
      <t>湖南</t>
    </r>
    <r>
      <rPr>
        <sz val="11"/>
        <color theme="1"/>
        <rFont val="ＭＳ Ｐゴシック"/>
        <family val="3"/>
        <charset val="134"/>
        <scheme val="minor"/>
      </rPr>
      <t>爱乐</t>
    </r>
    <r>
      <rPr>
        <sz val="11"/>
        <color theme="1"/>
        <rFont val="ＭＳ Ｐゴシック"/>
        <family val="3"/>
        <charset val="128"/>
        <scheme val="minor"/>
      </rPr>
      <t>味食品科技有限公司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</si>
  <si>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烈酒; 开胃酒; 白酒</t>
    </r>
  </si>
  <si>
    <t>吮鑫</t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</si>
  <si>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皓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空港服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</si>
  <si>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高粱酒</t>
    </r>
  </si>
  <si>
    <t>易成隆</t>
  </si>
  <si>
    <r>
      <t>广州市太晶国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</si>
  <si>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</si>
  <si>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t>粉杳佬</t>
  </si>
  <si>
    <r>
      <t>葛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</si>
  <si>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</si>
  <si>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茉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</si>
  <si>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霖餐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</si>
  <si>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清酒（日本米酒）; 葡萄酒;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</si>
  <si>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亩</t>
    </r>
    <r>
      <rPr>
        <sz val="11"/>
        <color theme="1"/>
        <rFont val="ＭＳ Ｐゴシック"/>
        <family val="3"/>
        <charset val="128"/>
        <scheme val="minor"/>
      </rPr>
      <t>泉河</t>
    </r>
  </si>
  <si>
    <t>代双双</t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</si>
  <si>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</si>
  <si>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斑点狗</t>
  </si>
  <si>
    <r>
      <t>深圳富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酒堡酒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</si>
  <si>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伏特加酒; 蒸煮提取物（利口酒和烈酒）;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</si>
  <si>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秋山</t>
    </r>
  </si>
  <si>
    <r>
      <t>成都林</t>
    </r>
    <r>
      <rPr>
        <sz val="11"/>
        <color theme="1"/>
        <rFont val="ＭＳ Ｐゴシック"/>
        <family val="3"/>
        <charset val="129"/>
        <scheme val="minor"/>
      </rPr>
      <t>洁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</si>
  <si>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米酒; 葡萄汽酒; 蜂蜜酒; 高粱酒; 果酒（含酒精）</t>
    </r>
  </si>
  <si>
    <r>
      <t>百越天天</t>
    </r>
    <r>
      <rPr>
        <sz val="11"/>
        <color theme="1"/>
        <rFont val="ＭＳ Ｐゴシック"/>
        <family val="3"/>
        <charset val="134"/>
        <scheme val="minor"/>
      </rPr>
      <t>乐</t>
    </r>
  </si>
  <si>
    <t>宋琪</t>
  </si>
  <si>
    <r>
      <t>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伏特加酒;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</si>
  <si>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YI LIANG BAN</t>
  </si>
  <si>
    <r>
      <t>新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市平原示范区一两半酒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</si>
  <si>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伏特加酒; 朗姆酒</t>
    </r>
  </si>
  <si>
    <r>
      <t>领</t>
    </r>
    <r>
      <rPr>
        <sz val="11"/>
        <color theme="1"/>
        <rFont val="ＭＳ Ｐゴシック"/>
        <family val="3"/>
        <charset val="128"/>
        <scheme val="minor"/>
      </rPr>
      <t>酷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</si>
  <si>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葡萄酒; 伏特加酒;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</si>
  <si>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世神方堂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</si>
  <si>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凯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</si>
  <si>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</si>
  <si>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极香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</si>
  <si>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翟娟</t>
    </r>
    <r>
      <rPr>
        <sz val="11"/>
        <color theme="1"/>
        <rFont val="ＭＳ Ｐゴシック"/>
        <family val="3"/>
        <charset val="134"/>
        <scheme val="minor"/>
      </rPr>
      <t>飞</t>
    </r>
  </si>
  <si>
    <t>米酒; 黄酒; 开胃酒; 汽酒; 食用酒精; 白酒; 葡萄酒; 果酒; 清酒; 甜酒</t>
  </si>
  <si>
    <r>
      <t>家</t>
    </r>
    <r>
      <rPr>
        <sz val="11"/>
        <color theme="1"/>
        <rFont val="ＭＳ Ｐゴシック"/>
        <family val="3"/>
        <charset val="134"/>
        <scheme val="minor"/>
      </rPr>
      <t>玮</t>
    </r>
    <r>
      <rPr>
        <sz val="11"/>
        <color theme="1"/>
        <rFont val="ＭＳ Ｐゴシック"/>
        <family val="3"/>
        <charset val="128"/>
        <scheme val="minor"/>
      </rPr>
      <t>世家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</si>
  <si>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餐后酒（利口酒和烈酒）; 果酒（含酒精）; 白酒</t>
    </r>
  </si>
  <si>
    <t>老年福</t>
  </si>
  <si>
    <r>
      <t>亿</t>
    </r>
    <r>
      <rPr>
        <sz val="11"/>
        <color theme="1"/>
        <rFont val="ＭＳ Ｐゴシック"/>
        <family val="3"/>
        <charset val="128"/>
        <scheme val="minor"/>
      </rPr>
      <t>利达集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</si>
  <si>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苦味酒;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</si>
  <si>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t>蜀之匠</t>
  </si>
  <si>
    <r>
      <t>成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区俊慈江商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</si>
  <si>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青稞酒; 果酒; 梅酒; 白酒; 葡萄酒; 清酒; 茴香酒;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</si>
  <si>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果酒; 烈酒;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</t>
    </r>
  </si>
  <si>
    <t>BAINIANHUAJIASHAOFANG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</si>
  <si>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开胃酒; 黄酒</t>
    </r>
  </si>
  <si>
    <t>HUAJIASHAOFANGCHUANGSHIREN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</si>
  <si>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威士忌</t>
    </r>
  </si>
  <si>
    <t>一盒广</t>
  </si>
  <si>
    <r>
      <t>广西之夜互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网生活服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平台有限公司</t>
    </r>
  </si>
  <si>
    <t>米酒; 果酒; 白酒; 果酒（含酒精）</t>
  </si>
  <si>
    <r>
      <t>亿</t>
    </r>
    <r>
      <rPr>
        <sz val="11"/>
        <color theme="1"/>
        <rFont val="ＭＳ Ｐゴシック"/>
        <family val="3"/>
        <charset val="128"/>
        <scheme val="minor"/>
      </rPr>
      <t>缸谷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</si>
  <si>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果酒（含酒精）; 米酒; 食用酒精</t>
    </r>
  </si>
  <si>
    <t>聚祚当家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</si>
  <si>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石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</si>
  <si>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</t>
    </r>
  </si>
  <si>
    <t>无地于下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</si>
  <si>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州正永和酒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</si>
  <si>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白干酒（中国白酒）; 高粱酒; 烈酒; 白酒; 青稞酒; 黄酒; 露酒</t>
    </r>
  </si>
  <si>
    <t>乾坤窄</t>
  </si>
  <si>
    <r>
      <t>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利口酒; 加烈葡萄酒; 露酒;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高粱酒; 烈酒; 烈性干酒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</si>
  <si>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南果品</t>
    </r>
    <r>
      <rPr>
        <sz val="11"/>
        <color theme="1"/>
        <rFont val="ＭＳ Ｐゴシック"/>
        <family val="3"/>
        <charset val="134"/>
        <scheme val="minor"/>
      </rPr>
      <t>总</t>
    </r>
    <r>
      <rPr>
        <sz val="11"/>
        <color theme="1"/>
        <rFont val="ＭＳ Ｐゴシック"/>
        <family val="3"/>
        <charset val="128"/>
        <scheme val="minor"/>
      </rPr>
      <t>公司英雄山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果</t>
    </r>
    <r>
      <rPr>
        <sz val="11"/>
        <color theme="1"/>
        <rFont val="ＭＳ Ｐゴシック"/>
        <family val="3"/>
        <charset val="134"/>
        <scheme val="minor"/>
      </rPr>
      <t>经营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</si>
  <si>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食用酒精; 果酒; 黄酒</t>
    </r>
  </si>
  <si>
    <t>海</t>
  </si>
  <si>
    <r>
      <t>佛山市江</t>
    </r>
    <r>
      <rPr>
        <sz val="11"/>
        <color theme="1"/>
        <rFont val="ＭＳ Ｐゴシック"/>
        <family val="3"/>
        <charset val="134"/>
        <scheme val="minor"/>
      </rPr>
      <t>渔</t>
    </r>
    <r>
      <rPr>
        <sz val="11"/>
        <color theme="1"/>
        <rFont val="ＭＳ Ｐゴシック"/>
        <family val="3"/>
        <charset val="128"/>
        <scheme val="minor"/>
      </rPr>
      <t>盛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</si>
  <si>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米酒;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梅酒; 露酒; 白酒; 蜂蜜酒;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</si>
  <si>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妙偶良辰</t>
  </si>
  <si>
    <r>
      <t xml:space="preserve">葡萄酒;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利口酒</t>
    </r>
  </si>
  <si>
    <t>蔺贺</t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</si>
  <si>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</si>
  <si>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榆</t>
    </r>
    <r>
      <rPr>
        <sz val="11"/>
        <color theme="1"/>
        <rFont val="ＭＳ Ｐゴシック"/>
        <family val="3"/>
        <charset val="128"/>
        <scheme val="minor"/>
      </rPr>
      <t>小度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</si>
  <si>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</si>
  <si>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籣花花</t>
  </si>
  <si>
    <t>侯园峰</t>
  </si>
  <si>
    <r>
      <t>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食用酒精;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利口酒; 朗姆酒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</si>
  <si>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禧</t>
    </r>
    <r>
      <rPr>
        <sz val="11"/>
        <color theme="1"/>
        <rFont val="ＭＳ Ｐゴシック"/>
        <family val="3"/>
        <charset val="134"/>
        <scheme val="minor"/>
      </rPr>
      <t>擀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</si>
  <si>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</t>
    </r>
  </si>
  <si>
    <r>
      <t>了</t>
    </r>
    <r>
      <rPr>
        <sz val="11"/>
        <color theme="1"/>
        <rFont val="ＭＳ Ｐゴシック"/>
        <family val="3"/>
        <charset val="134"/>
        <scheme val="minor"/>
      </rPr>
      <t>红尘</t>
    </r>
  </si>
  <si>
    <t>栗向均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</si>
  <si>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果酒（含酒精）;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烈酒; 葡萄酒</t>
    </r>
  </si>
  <si>
    <t>雷客</t>
  </si>
  <si>
    <t>刘志清</t>
  </si>
  <si>
    <r>
      <t xml:space="preserve">苦味酒;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黄酒; 薄荷酒; 白酒</t>
    </r>
  </si>
  <si>
    <t>MINERASTONE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</si>
  <si>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欧粮源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</si>
  <si>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餐后酒（利口酒和烈酒）;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葡萄酒</t>
    </r>
  </si>
  <si>
    <t>一鼎康</t>
  </si>
  <si>
    <r>
      <t>河南一鼎康大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房有限公司</t>
    </r>
  </si>
  <si>
    <r>
      <t xml:space="preserve">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含酒精的气泡水; 果酒（含酒精）;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</si>
  <si>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浮光叶嘉</t>
  </si>
  <si>
    <r>
      <t>广州白云山和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黄埔中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</si>
  <si>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</t>
    </r>
  </si>
  <si>
    <r>
      <t>宏</t>
    </r>
    <r>
      <rPr>
        <sz val="11"/>
        <color theme="1"/>
        <rFont val="ＭＳ Ｐゴシック"/>
        <family val="3"/>
        <charset val="134"/>
        <scheme val="minor"/>
      </rPr>
      <t>观韬</t>
    </r>
    <r>
      <rPr>
        <sz val="11"/>
        <color theme="1"/>
        <rFont val="ＭＳ Ｐゴシック"/>
        <family val="3"/>
        <charset val="128"/>
        <scheme val="minor"/>
      </rPr>
      <t>樽</t>
    </r>
  </si>
  <si>
    <r>
      <t xml:space="preserve">葡萄酒;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餐后酒（利口酒和烈酒）; 清酒（日本米酒）; 黄酒; 甜酒; 白酒</t>
    </r>
  </si>
  <si>
    <r>
      <t>鹅</t>
    </r>
    <r>
      <rPr>
        <sz val="11"/>
        <color theme="1"/>
        <rFont val="ＭＳ Ｐゴシック"/>
        <family val="3"/>
        <charset val="128"/>
        <scheme val="minor"/>
      </rPr>
      <t>皇 NOBLE GOOSE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</si>
  <si>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苏鹅</t>
    </r>
    <r>
      <rPr>
        <sz val="11"/>
        <color theme="1"/>
        <rFont val="ＭＳ Ｐゴシック"/>
        <family val="3"/>
        <charset val="128"/>
        <scheme val="minor"/>
      </rPr>
      <t>皇服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</si>
  <si>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朗姆酒;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</si>
  <si>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词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</si>
  <si>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胡舒</t>
    </r>
    <r>
      <rPr>
        <sz val="11"/>
        <color theme="1"/>
        <rFont val="ＭＳ Ｐゴシック"/>
        <family val="3"/>
        <charset val="134"/>
        <scheme val="minor"/>
      </rPr>
      <t>娴</t>
    </r>
  </si>
  <si>
    <r>
      <t>果酒（含酒精）; 威士忌; 米酒; 白酒;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</si>
  <si>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t>多彩草原99号公路</t>
  </si>
  <si>
    <r>
      <t>西</t>
    </r>
    <r>
      <rPr>
        <sz val="11"/>
        <color theme="1"/>
        <rFont val="ＭＳ Ｐゴシック"/>
        <family val="3"/>
        <charset val="134"/>
        <scheme val="minor"/>
      </rPr>
      <t>乌</t>
    </r>
    <r>
      <rPr>
        <sz val="11"/>
        <color theme="1"/>
        <rFont val="ＭＳ Ｐゴシック"/>
        <family val="3"/>
        <charset val="128"/>
        <scheme val="minor"/>
      </rPr>
      <t>珠穆沁旗原之行旅行社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</si>
  <si>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苹果酒; 葡萄酒;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</si>
  <si>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湖畔</t>
    </r>
  </si>
  <si>
    <r>
      <t>米酒;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</si>
  <si>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蕙民百慧</t>
  </si>
  <si>
    <r>
      <t>北京溪皖商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</si>
  <si>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威士忌</t>
    </r>
  </si>
  <si>
    <t>家匠翁</t>
  </si>
  <si>
    <r>
      <t>青稞酒; 梅酒;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茴香酒; 白酒; 果酒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</si>
  <si>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通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</si>
  <si>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睿曦光文商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</si>
  <si>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</si>
  <si>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己何</t>
  </si>
  <si>
    <r>
      <t>河南美</t>
    </r>
    <r>
      <rPr>
        <sz val="11"/>
        <color theme="1"/>
        <rFont val="ＭＳ Ｐゴシック"/>
        <family val="3"/>
        <charset val="134"/>
        <scheme val="minor"/>
      </rPr>
      <t>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</si>
  <si>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葡萄酒; 黄酒</t>
    </r>
  </si>
  <si>
    <r>
      <t>鹏</t>
    </r>
    <r>
      <rPr>
        <sz val="11"/>
        <color theme="1"/>
        <rFont val="ＭＳ Ｐゴシック"/>
        <family val="3"/>
        <charset val="128"/>
        <scheme val="minor"/>
      </rPr>
      <t>信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</si>
  <si>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</si>
  <si>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t>正酷</t>
  </si>
  <si>
    <r>
      <t>北京大巧文化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</si>
  <si>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烈酒; 黄酒; 葡萄酒; 果酒;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</si>
  <si>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宁蝶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</si>
  <si>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烈酒; 白干酒（中国白酒）; 蒸煮提取物（利口酒和烈酒）; 葡萄酒;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</si>
  <si>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觐辉</t>
    </r>
    <r>
      <rPr>
        <sz val="11"/>
        <color theme="1"/>
        <rFont val="ＭＳ Ｐゴシック"/>
        <family val="3"/>
        <charset val="128"/>
        <scheme val="minor"/>
      </rPr>
      <t>家酒</t>
    </r>
  </si>
  <si>
    <r>
      <t>南宁市杰</t>
    </r>
    <r>
      <rPr>
        <sz val="11"/>
        <color theme="1"/>
        <rFont val="ＭＳ Ｐゴシック"/>
        <family val="3"/>
        <charset val="134"/>
        <scheme val="minor"/>
      </rPr>
      <t>辉产业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</si>
  <si>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五加皮酒（中国混合烈酒）; 甜酒;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清酒;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</si>
  <si>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花河</t>
  </si>
  <si>
    <r>
      <t>牡丹江阳茅酒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</si>
  <si>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餐后酒（利口酒和烈酒）</t>
    </r>
  </si>
  <si>
    <r>
      <t>雪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山冰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</si>
  <si>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白葡萄酒;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</t>
    </r>
  </si>
  <si>
    <r>
      <t>蔚</t>
    </r>
    <r>
      <rPr>
        <sz val="11"/>
        <color theme="1"/>
        <rFont val="ＭＳ Ｐゴシック"/>
        <family val="3"/>
        <charset val="134"/>
        <scheme val="minor"/>
      </rPr>
      <t>柠</t>
    </r>
  </si>
  <si>
    <t>甘光珍</t>
  </si>
  <si>
    <r>
      <t>清酒;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黄酒; 米酒;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</si>
  <si>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方霖居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</si>
  <si>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南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南投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</si>
  <si>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</si>
  <si>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洋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座</t>
    </r>
  </si>
  <si>
    <r>
      <t xml:space="preserve">白酒; 果酒（含酒精）; 黄酒; 清酒（日本米酒）; 烈酒; 葡萄酒;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</si>
  <si>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溪宁</t>
    </r>
    <r>
      <rPr>
        <sz val="11"/>
        <color theme="1"/>
        <rFont val="ＭＳ Ｐゴシック"/>
        <family val="3"/>
        <charset val="134"/>
        <scheme val="minor"/>
      </rPr>
      <t>铭</t>
    </r>
  </si>
  <si>
    <t>高亮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</si>
  <si>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开胃酒; 葡萄酒; 烈酒; 白酒; 果酒;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</si>
  <si>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r>
      <t>餐后酒（利口酒和烈酒）;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甜酒; 清酒; 米酒; 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</t>
    </r>
  </si>
  <si>
    <t>黔王人家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</si>
  <si>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州黔王匠王台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</si>
  <si>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黄酒; 烈酒;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</si>
  <si>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财满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</si>
  <si>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>胡开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</si>
  <si>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白干酒（中国白酒）</t>
    </r>
  </si>
  <si>
    <t>惜福</t>
  </si>
  <si>
    <r>
      <t>刘永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</si>
  <si>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白酒; 烈酒; 利口酒; 茴香酒（利口酒）;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葡萄酒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</si>
  <si>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仕集</t>
    </r>
  </si>
  <si>
    <r>
      <t>歌逸（上海）国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</si>
  <si>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</si>
  <si>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r>
      <t>靌</t>
    </r>
    <r>
      <rPr>
        <sz val="11"/>
        <color theme="1"/>
        <rFont val="ＭＳ Ｐゴシック"/>
        <family val="3"/>
        <charset val="128"/>
        <scheme val="minor"/>
      </rPr>
      <t>窖老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</si>
  <si>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丛</t>
    </r>
    <r>
      <rPr>
        <sz val="11"/>
        <color theme="1"/>
        <rFont val="ＭＳ Ｐゴシック"/>
        <family val="3"/>
        <charset val="128"/>
        <scheme val="minor"/>
      </rPr>
      <t>健</t>
    </r>
  </si>
  <si>
    <r>
      <t xml:space="preserve">朗姆酒; 果酒（含酒精）;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</si>
  <si>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七分初恋</t>
  </si>
  <si>
    <r>
      <t>刘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</si>
  <si>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 xml:space="preserve">清酒（日本米酒）; 葡萄酒; 米酒;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果酒（含酒精）; 黄酒; 白酒;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</si>
  <si>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焕</t>
    </r>
    <r>
      <rPr>
        <sz val="11"/>
        <color theme="1"/>
        <rFont val="ＭＳ Ｐゴシック"/>
        <family val="3"/>
        <charset val="128"/>
        <scheme val="minor"/>
      </rPr>
      <t>迹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</si>
  <si>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通科技集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</si>
  <si>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朗姆酒; 青稞酒; 黄酒;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</si>
  <si>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伊窖王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王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</si>
  <si>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高粱酒; 葡萄酒;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</si>
  <si>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泸铺</t>
    </r>
    <r>
      <rPr>
        <sz val="11"/>
        <color theme="1"/>
        <rFont val="ＭＳ Ｐゴシック"/>
        <family val="3"/>
        <charset val="128"/>
        <scheme val="minor"/>
      </rPr>
      <t>匠春</t>
    </r>
  </si>
  <si>
    <r>
      <t>滕达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</si>
  <si>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葡萄酒; 蜂蜜酒;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米酒; 白酒; 果酒（含酒精）</t>
    </r>
  </si>
  <si>
    <t>伊酒至尊</t>
  </si>
  <si>
    <r>
      <t>烈酒; 高粱酒;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青稞酒;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</si>
  <si>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伊特名</t>
  </si>
  <si>
    <r>
      <t>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高粱酒;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烈酒;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</si>
  <si>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CANGERSHIYUN</t>
  </si>
  <si>
    <r>
      <t>孙</t>
    </r>
    <r>
      <rPr>
        <sz val="11"/>
        <color theme="1"/>
        <rFont val="ＭＳ Ｐゴシック"/>
        <family val="3"/>
        <charset val="128"/>
        <scheme val="minor"/>
      </rPr>
      <t>然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</si>
  <si>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</si>
  <si>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一山与鹿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</si>
  <si>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春市双阳区一山与鹿鹿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</si>
  <si>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露酒; 蜂蜜酒; 黄酒; 果酒; 白酒; 烈酒; 葡萄酒; 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</si>
  <si>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苁</t>
    </r>
    <r>
      <rPr>
        <sz val="11"/>
        <color theme="1"/>
        <rFont val="ＭＳ Ｐゴシック"/>
        <family val="3"/>
        <charset val="128"/>
        <scheme val="minor"/>
      </rPr>
      <t>阿哥</t>
    </r>
  </si>
  <si>
    <r>
      <t>内蒙古蒙</t>
    </r>
    <r>
      <rPr>
        <sz val="11"/>
        <color theme="1"/>
        <rFont val="ＭＳ Ｐゴシック"/>
        <family val="3"/>
        <charset val="134"/>
        <scheme val="minor"/>
      </rPr>
      <t>塬</t>
    </r>
    <r>
      <rPr>
        <sz val="11"/>
        <color theme="1"/>
        <rFont val="ＭＳ Ｐゴシック"/>
        <family val="3"/>
        <charset val="128"/>
        <scheme val="minor"/>
      </rPr>
      <t>艾健康管理服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</si>
  <si>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苦味酒; 烈酒; 葡萄酒; 苦艾酒;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</si>
  <si>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黎</t>
    </r>
    <r>
      <rPr>
        <sz val="11"/>
        <color theme="1"/>
        <rFont val="ＭＳ Ｐゴシック"/>
        <family val="3"/>
        <charset val="134"/>
        <scheme val="minor"/>
      </rPr>
      <t>拥</t>
    </r>
  </si>
  <si>
    <r>
      <t>上海黎</t>
    </r>
    <r>
      <rPr>
        <sz val="11"/>
        <color theme="1"/>
        <rFont val="ＭＳ Ｐゴシック"/>
        <family val="3"/>
        <charset val="134"/>
        <scheme val="minor"/>
      </rPr>
      <t>拥实业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</si>
  <si>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高粱酒; 清酒; 白酒; 果酒; 葡萄酒;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</si>
  <si>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旅姐</t>
    </r>
  </si>
  <si>
    <r>
      <t>占金（北京）咨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</si>
  <si>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米酒; 白酒; 葡萄酒; 食用酒精;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</si>
  <si>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王建生</t>
  </si>
  <si>
    <r>
      <t xml:space="preserve">青稞酒;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</si>
  <si>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</si>
  <si>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州盛世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</si>
  <si>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蒸煮提取物（利口酒和烈酒）</t>
    </r>
  </si>
  <si>
    <r>
      <t>颂</t>
    </r>
    <r>
      <rPr>
        <sz val="11"/>
        <color theme="1"/>
        <rFont val="ＭＳ Ｐゴシック"/>
        <family val="3"/>
        <charset val="128"/>
        <scheme val="minor"/>
      </rPr>
      <t>知</t>
    </r>
  </si>
  <si>
    <t>烈酒; 高粱酒; 果酒（含酒精）; 利口酒; 白干酒（中国白酒）; 青稞酒; 黄酒; 米酒; 甜酒; 白酒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</si>
  <si>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粮侯</t>
    </r>
  </si>
  <si>
    <r>
      <t>深圳市宝盛源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</si>
  <si>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梅酒;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黄酒; 白酒</t>
    </r>
  </si>
  <si>
    <t>小叨狼</t>
  </si>
  <si>
    <r>
      <t>山西北路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</si>
  <si>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高粱酒;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</si>
  <si>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t>五叶哪瓜</t>
  </si>
  <si>
    <r>
      <t>萍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市湘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区暹</t>
    </r>
    <r>
      <rPr>
        <sz val="11"/>
        <color theme="1"/>
        <rFont val="ＭＳ Ｐゴシック"/>
        <family val="3"/>
        <charset val="134"/>
        <scheme val="minor"/>
      </rPr>
      <t>罗红</t>
    </r>
    <r>
      <rPr>
        <sz val="11"/>
        <color theme="1"/>
        <rFont val="ＭＳ Ｐゴシック"/>
        <family val="3"/>
        <charset val="128"/>
        <scheme val="minor"/>
      </rPr>
      <t>柚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种植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</si>
  <si>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果酒（含酒精）; 黄酒; 白酒;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</t>
    </r>
  </si>
  <si>
    <r>
      <t>果酒（含酒精）; 梅酒; 蜂蜜酒; 白酒; 露酒;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</si>
  <si>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福港福</t>
  </si>
  <si>
    <r>
      <t>泉州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</si>
  <si>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黄酒; 葡萄酒;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</si>
  <si>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潮之阳</t>
  </si>
  <si>
    <r>
      <t>广州潮之阳酒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</si>
  <si>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米酒; 食用酒精;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</si>
  <si>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梅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春老</t>
    </r>
    <r>
      <rPr>
        <sz val="11"/>
        <color theme="1"/>
        <rFont val="ＭＳ Ｐゴシック"/>
        <family val="3"/>
        <charset val="134"/>
        <scheme val="minor"/>
      </rPr>
      <t>爷</t>
    </r>
    <r>
      <rPr>
        <sz val="11"/>
        <color theme="1"/>
        <rFont val="ＭＳ Ｐゴシック"/>
        <family val="3"/>
        <charset val="128"/>
        <scheme val="minor"/>
      </rPr>
      <t>子</t>
    </r>
  </si>
  <si>
    <r>
      <t>泰州市梅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春酒厂有限公司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</si>
  <si>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葡萄酒; 蜂蜜酒; 黄酒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</si>
  <si>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坤蒋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</si>
  <si>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坤酒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</si>
  <si>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</t>
    </r>
  </si>
  <si>
    <r>
      <t>岗</t>
    </r>
    <r>
      <rPr>
        <sz val="11"/>
        <color theme="1"/>
        <rFont val="ＭＳ Ｐゴシック"/>
        <family val="3"/>
        <charset val="128"/>
        <scheme val="minor"/>
      </rPr>
      <t>上熟</t>
    </r>
  </si>
  <si>
    <r>
      <t>北京京宛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</si>
  <si>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黄酒</t>
  </si>
  <si>
    <r>
      <t>津</t>
    </r>
    <r>
      <rPr>
        <sz val="11"/>
        <color theme="1"/>
        <rFont val="ＭＳ Ｐゴシック"/>
        <family val="3"/>
        <charset val="134"/>
        <scheme val="minor"/>
      </rPr>
      <t>爷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</si>
  <si>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天津市大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</si>
  <si>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果酒（含酒精）;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清酒; 黄酒; 米酒</t>
    </r>
  </si>
  <si>
    <t>厚德阿北</t>
  </si>
  <si>
    <r>
      <t>曾</t>
    </r>
    <r>
      <rPr>
        <sz val="11"/>
        <color theme="1"/>
        <rFont val="ＭＳ Ｐゴシック"/>
        <family val="3"/>
        <charset val="134"/>
        <scheme val="minor"/>
      </rPr>
      <t>绍</t>
    </r>
    <r>
      <rPr>
        <sz val="11"/>
        <color theme="1"/>
        <rFont val="ＭＳ Ｐゴシック"/>
        <family val="3"/>
        <charset val="128"/>
        <scheme val="minor"/>
      </rPr>
      <t>北</t>
    </r>
  </si>
  <si>
    <r>
      <t>青稞酒; 果酒（含酒精）; 葡萄酒;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甜酒</t>
    </r>
  </si>
  <si>
    <t>漓泓</t>
  </si>
  <si>
    <r>
      <t>李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鑫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</si>
  <si>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白酒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</si>
  <si>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开胃酒; 米酒; 果酒（含酒精）</t>
    </r>
  </si>
  <si>
    <r>
      <t>秋叶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民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</si>
  <si>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西秋叶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民商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</si>
  <si>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苦味酒; 食用酒精; 开胃酒; 青稞酒; 白干酒（中国白酒）;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烈性干酒;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</si>
  <si>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BOCCA</t>
  </si>
  <si>
    <r>
      <t>广州冠利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</si>
  <si>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果酒（含酒精）; 米酒; 伏特加酒</t>
    </r>
  </si>
  <si>
    <t>KATAEEN</t>
  </si>
  <si>
    <r>
      <t>河南鑫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</si>
  <si>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酸酒（低等葡萄酒）; 青稞酒; 果酒; 利口酒; 威士忌; 苹果酒; 朗姆酒; 葡萄酒</t>
    </r>
  </si>
  <si>
    <t>益湖春</t>
  </si>
  <si>
    <r>
      <t>保定市恭竟享商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</si>
  <si>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</t>
    </r>
  </si>
  <si>
    <r>
      <t>龘龘</t>
    </r>
    <r>
      <rPr>
        <sz val="11"/>
        <color theme="1"/>
        <rFont val="ＭＳ Ｐゴシック"/>
        <family val="3"/>
        <charset val="128"/>
        <scheme val="minor"/>
      </rPr>
      <t>御香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</si>
  <si>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荟农</t>
    </r>
    <r>
      <rPr>
        <sz val="11"/>
        <color theme="1"/>
        <rFont val="ＭＳ Ｐゴシック"/>
        <family val="3"/>
        <charset val="128"/>
        <scheme val="minor"/>
      </rPr>
      <t>本心供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</si>
  <si>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</si>
  <si>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井香怡</t>
  </si>
  <si>
    <t>刘玉香</t>
  </si>
  <si>
    <r>
      <t>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开胃酒; 果酒（含酒精）; 清酒（日本米酒）;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</si>
  <si>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仁堂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</si>
  <si>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蒸煮提取物（利口酒和烈酒）;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果酒（含酒精）</t>
    </r>
  </si>
  <si>
    <t>丐猴</t>
  </si>
  <si>
    <t>广州独眼虎品牌管理有限公司</t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</si>
  <si>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餐后酒（利口酒和烈酒）; 威士忌; 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</si>
  <si>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北京永航科技有限公司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</si>
  <si>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开胃酒</t>
    </r>
  </si>
  <si>
    <t>玖魔</t>
  </si>
  <si>
    <r>
      <t>成都蜀</t>
    </r>
    <r>
      <rPr>
        <sz val="11"/>
        <color theme="1"/>
        <rFont val="ＭＳ Ｐゴシック"/>
        <family val="3"/>
        <charset val="134"/>
        <scheme val="minor"/>
      </rPr>
      <t>酝贸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</si>
  <si>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威士忌; 伏特加酒; 葡萄酒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</si>
  <si>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仙太白秋韵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</si>
  <si>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庆诗</t>
    </r>
    <r>
      <rPr>
        <sz val="11"/>
        <color theme="1"/>
        <rFont val="ＭＳ Ｐゴシック"/>
        <family val="3"/>
        <charset val="128"/>
        <scheme val="minor"/>
      </rPr>
      <t>仙太白酒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</si>
  <si>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葡萄酒; 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</si>
  <si>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夏</t>
    </r>
    <r>
      <rPr>
        <sz val="11"/>
        <color theme="1"/>
        <rFont val="ＭＳ Ｐゴシック"/>
        <family val="3"/>
        <charset val="134"/>
        <scheme val="minor"/>
      </rPr>
      <t>龙凤</t>
    </r>
    <r>
      <rPr>
        <sz val="11"/>
        <color theme="1"/>
        <rFont val="ＭＳ Ｐゴシック"/>
        <family val="3"/>
        <charset val="128"/>
        <scheme val="minor"/>
      </rPr>
      <t>心学苑</t>
    </r>
  </si>
  <si>
    <t>刘称心</t>
  </si>
  <si>
    <r>
      <t>葡萄酒; 果酒（含酒精）; 薄荷酒;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</si>
  <si>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t>傅青竹</t>
  </si>
  <si>
    <r>
      <t>山西众合</t>
    </r>
    <r>
      <rPr>
        <sz val="11"/>
        <color theme="1"/>
        <rFont val="ＭＳ Ｐゴシック"/>
        <family val="3"/>
        <charset val="134"/>
        <scheme val="minor"/>
      </rPr>
      <t>联创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</si>
  <si>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开胃酒; 烈酒; 果酒; 朗姆酒; 露酒; 威士忌;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</si>
  <si>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沙井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</si>
  <si>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家口盛世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城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</si>
  <si>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</si>
  <si>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冠山在水一方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</si>
  <si>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汽酒; 威士忌</t>
    </r>
  </si>
  <si>
    <r>
      <t>荞</t>
    </r>
    <r>
      <rPr>
        <sz val="11"/>
        <color theme="1"/>
        <rFont val="ＭＳ Ｐゴシック"/>
        <family val="3"/>
        <charset val="128"/>
        <scheme val="minor"/>
      </rPr>
      <t>千味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</si>
  <si>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喜瑛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</si>
  <si>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</si>
  <si>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骑</t>
    </r>
    <r>
      <rPr>
        <sz val="11"/>
        <color theme="1"/>
        <rFont val="ＭＳ Ｐゴシック"/>
        <family val="3"/>
        <charset val="128"/>
        <scheme val="minor"/>
      </rPr>
      <t>士</t>
    </r>
  </si>
  <si>
    <r>
      <t>北京幸福三坊商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</si>
  <si>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汽酒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</si>
  <si>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卧仙都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</si>
  <si>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红顺</t>
    </r>
    <r>
      <rPr>
        <sz val="11"/>
        <color theme="1"/>
        <rFont val="ＭＳ Ｐゴシック"/>
        <family val="3"/>
        <charset val="128"/>
        <scheme val="minor"/>
      </rPr>
      <t>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</si>
  <si>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</si>
  <si>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瑞云享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</si>
  <si>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瑞云享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</si>
  <si>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高粱酒; 蒸煮提取物（利口酒和烈酒）; 烈酒; 甜酒;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</si>
  <si>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粧酒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</si>
  <si>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</si>
  <si>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伏特加酒;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</si>
  <si>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来</t>
    </r>
  </si>
  <si>
    <t>申建峰</t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</si>
  <si>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白酒; 黄酒; 甜酒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</si>
  <si>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 xml:space="preserve">宴 · </t>
    </r>
    <r>
      <rPr>
        <sz val="11"/>
        <color theme="1"/>
        <rFont val="ＭＳ Ｐゴシック"/>
        <family val="3"/>
        <charset val="134"/>
        <scheme val="minor"/>
      </rPr>
      <t>须</t>
    </r>
    <r>
      <rPr>
        <sz val="11"/>
        <color theme="1"/>
        <rFont val="ＭＳ Ｐゴシック"/>
        <family val="3"/>
        <charset val="128"/>
        <scheme val="minor"/>
      </rPr>
      <t>尽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</si>
  <si>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市宇翔酒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</si>
  <si>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白酒; 威士忌;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</si>
  <si>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福天安</t>
  </si>
  <si>
    <r>
      <t>黄酒; 威士忌; 清酒（日本米酒）; 利口酒; 葡萄酒;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</si>
  <si>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浔龙</t>
    </r>
    <r>
      <rPr>
        <sz val="11"/>
        <color theme="1"/>
        <rFont val="ＭＳ Ｐゴシック"/>
        <family val="3"/>
        <charset val="128"/>
        <scheme val="minor"/>
      </rPr>
      <t>听海·礼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</si>
  <si>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会朋</t>
    </r>
  </si>
  <si>
    <r>
      <t>甜酒;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威士忌;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</si>
  <si>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浔龙</t>
    </r>
    <r>
      <rPr>
        <sz val="11"/>
        <color theme="1"/>
        <rFont val="ＭＳ Ｐゴシック"/>
        <family val="3"/>
        <charset val="128"/>
        <scheme val="minor"/>
      </rPr>
      <t>听海·妙品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</si>
  <si>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甜酒</t>
    </r>
  </si>
  <si>
    <t>DTG BOX</t>
  </si>
  <si>
    <r>
      <t>四川天地</t>
    </r>
    <r>
      <rPr>
        <sz val="11"/>
        <color theme="1"/>
        <rFont val="ＭＳ Ｐゴシック"/>
        <family val="3"/>
        <charset val="134"/>
        <scheme val="minor"/>
      </rPr>
      <t>飘</t>
    </r>
    <r>
      <rPr>
        <sz val="11"/>
        <color theme="1"/>
        <rFont val="ＭＳ Ｐゴシック"/>
        <family val="3"/>
        <charset val="128"/>
        <scheme val="minor"/>
      </rPr>
      <t>香投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</si>
  <si>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</si>
  <si>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半醉山</t>
  </si>
  <si>
    <r>
      <t>四川丹景台酒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</si>
  <si>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利口酒;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果酒（含酒精）; 葡萄酒; 白酒</t>
    </r>
  </si>
  <si>
    <r>
      <t>七扇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</si>
  <si>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清酒（日本米酒）;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苹果酒; 利口酒;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</si>
  <si>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汗达汗</t>
  </si>
  <si>
    <r>
      <t>吕</t>
    </r>
    <r>
      <rPr>
        <sz val="11"/>
        <color theme="1"/>
        <rFont val="ＭＳ Ｐゴシック"/>
        <family val="3"/>
        <charset val="128"/>
        <scheme val="minor"/>
      </rPr>
      <t>常久*****************X</t>
    </r>
  </si>
  <si>
    <r>
      <t xml:space="preserve">高粱酒;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利口酒; 开胃酒; 白酒</t>
    </r>
  </si>
  <si>
    <r>
      <t>新峰</t>
    </r>
    <r>
      <rPr>
        <sz val="11"/>
        <color theme="1"/>
        <rFont val="ＭＳ Ｐゴシック"/>
        <family val="3"/>
        <charset val="134"/>
        <scheme val="minor"/>
      </rPr>
      <t>乡侨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</si>
  <si>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州清峰品牌管理有限公司</t>
    </r>
  </si>
  <si>
    <r>
      <t>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白酒; 食用酒精; 黄酒; 伏特加酒; 果酒（含酒精）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</si>
  <si>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体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</si>
  <si>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洪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</si>
  <si>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薄荷酒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</si>
  <si>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龗</t>
    </r>
  </si>
  <si>
    <r>
      <t>云南品斛堂酒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</si>
  <si>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</si>
  <si>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杏永</t>
  </si>
  <si>
    <t>王海静*****************X</t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</si>
  <si>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</si>
  <si>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r>
      <t>鸣</t>
    </r>
    <r>
      <rPr>
        <sz val="11"/>
        <color theme="1"/>
        <rFont val="ＭＳ Ｐゴシック"/>
        <family val="3"/>
        <charset val="128"/>
        <scheme val="minor"/>
      </rPr>
      <t>荔皆收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</si>
  <si>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州酒博士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</si>
  <si>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餐后酒（利口酒和烈酒）; 果酒（含酒精）; 米酒;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</si>
  <si>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中州甘源</t>
  </si>
  <si>
    <r>
      <t>襄阳市宿襄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合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</si>
  <si>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黄酒;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甜酒</t>
    </r>
  </si>
  <si>
    <r>
      <t>酒老</t>
    </r>
    <r>
      <rPr>
        <sz val="11"/>
        <color theme="1"/>
        <rFont val="ＭＳ Ｐゴシック"/>
        <family val="3"/>
        <charset val="134"/>
        <scheme val="minor"/>
      </rPr>
      <t>头烧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</si>
  <si>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州酒老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</si>
  <si>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白酒; 黄酒; 米酒; 白干酒（中国白酒）;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</si>
  <si>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县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</si>
  <si>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播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媒广告有限公司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</si>
  <si>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</t>
    </r>
  </si>
  <si>
    <t>极美</t>
  </si>
  <si>
    <r>
      <t>灌南</t>
    </r>
    <r>
      <rPr>
        <sz val="11"/>
        <color theme="1"/>
        <rFont val="ＭＳ Ｐゴシック"/>
        <family val="3"/>
        <charset val="134"/>
        <scheme val="minor"/>
      </rPr>
      <t>县汤</t>
    </r>
    <r>
      <rPr>
        <sz val="11"/>
        <color theme="1"/>
        <rFont val="ＭＳ Ｐゴシック"/>
        <family val="3"/>
        <charset val="128"/>
        <scheme val="minor"/>
      </rPr>
      <t>沟曲酒厂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</si>
  <si>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蜂蜜酒; 米酒</t>
    </r>
  </si>
  <si>
    <r>
      <t>渔</t>
    </r>
    <r>
      <rPr>
        <sz val="11"/>
        <color theme="1"/>
        <rFont val="ＭＳ Ｐゴシック"/>
        <family val="3"/>
        <charset val="128"/>
        <scheme val="minor"/>
      </rPr>
      <t>家洞</t>
    </r>
  </si>
  <si>
    <t>毛兵忠</t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</si>
  <si>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</si>
  <si>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t>肆珍台</t>
  </si>
  <si>
    <r>
      <t>万从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</si>
  <si>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食用酒精; 葡萄酒;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</si>
  <si>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黔哥</t>
    </r>
    <r>
      <rPr>
        <sz val="11"/>
        <color theme="1"/>
        <rFont val="ＭＳ Ｐゴシック"/>
        <family val="3"/>
        <charset val="134"/>
        <scheme val="minor"/>
      </rPr>
      <t>们</t>
    </r>
  </si>
  <si>
    <r>
      <t>曾</t>
    </r>
    <r>
      <rPr>
        <sz val="11"/>
        <color theme="1"/>
        <rFont val="ＭＳ Ｐゴシック"/>
        <family val="3"/>
        <charset val="134"/>
        <scheme val="minor"/>
      </rPr>
      <t>莹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</si>
  <si>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</si>
  <si>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季博士</t>
  </si>
  <si>
    <r>
      <t>黄</t>
    </r>
    <r>
      <rPr>
        <sz val="11"/>
        <color theme="1"/>
        <rFont val="ＭＳ Ｐゴシック"/>
        <family val="3"/>
        <charset val="134"/>
        <scheme val="minor"/>
      </rPr>
      <t>军华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</si>
  <si>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</si>
  <si>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赊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</si>
  <si>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白酒; 黄酒;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</si>
  <si>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MINGJIUYUN</t>
  </si>
  <si>
    <r>
      <t>中山市八喜</t>
    </r>
    <r>
      <rPr>
        <sz val="11"/>
        <color theme="1"/>
        <rFont val="ＭＳ Ｐゴシック"/>
        <family val="3"/>
        <charset val="134"/>
        <scheme val="minor"/>
      </rPr>
      <t>电脑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</si>
  <si>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青稞酒; 黄酒; 白酒; 清酒（日本米酒）</t>
    </r>
  </si>
  <si>
    <r>
      <t>承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醇</t>
    </r>
  </si>
  <si>
    <r>
      <t>新疆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宇尚格商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</si>
  <si>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蜂蜜酒; 黄酒; 烈酒; 葡萄酒; 食用酒精; 果酒</t>
    </r>
  </si>
  <si>
    <r>
      <t>归</t>
    </r>
    <r>
      <rPr>
        <sz val="11"/>
        <color theme="1"/>
        <rFont val="ＭＳ Ｐゴシック"/>
        <family val="3"/>
        <charset val="128"/>
        <scheme val="minor"/>
      </rPr>
      <t>吾</t>
    </r>
  </si>
  <si>
    <t>王燕斐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</si>
  <si>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</t>
    </r>
  </si>
  <si>
    <t>盛事呈祥</t>
  </si>
  <si>
    <r>
      <t>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白干酒（中国白酒）; 米酒;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</si>
  <si>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t>鹿培元</t>
  </si>
  <si>
    <r>
      <t>孙</t>
    </r>
    <r>
      <rPr>
        <sz val="11"/>
        <color theme="1"/>
        <rFont val="ＭＳ Ｐゴシック"/>
        <family val="3"/>
        <charset val="128"/>
        <scheme val="minor"/>
      </rPr>
      <t>福香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</si>
  <si>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烈酒; 威士忌; 开胃酒;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葡萄酒</t>
    </r>
  </si>
  <si>
    <t>伊特老</t>
  </si>
  <si>
    <r>
      <t>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高粱酒;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烈酒; 青稞酒</t>
    </r>
  </si>
  <si>
    <r>
      <t>物</t>
    </r>
    <r>
      <rPr>
        <sz val="11"/>
        <color theme="1"/>
        <rFont val="ＭＳ Ｐゴシック"/>
        <family val="3"/>
        <charset val="134"/>
        <scheme val="minor"/>
      </rPr>
      <t>韫</t>
    </r>
  </si>
  <si>
    <r>
      <t>衡水道德技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</si>
  <si>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苹果酒; 烈酒; 梨酒; 米酒; 葡萄酒;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</si>
  <si>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伊特至尊</t>
  </si>
  <si>
    <r>
      <t>青稞酒; 高粱酒; 白酒; 果酒（含酒精）;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</t>
    </r>
  </si>
  <si>
    <t>云夫人</t>
  </si>
  <si>
    <t>廖星星</t>
  </si>
  <si>
    <r>
      <t xml:space="preserve">薄荷酒;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</si>
  <si>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尊布大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</si>
  <si>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何民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</si>
  <si>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汽酒; 清酒（日本米酒）;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</si>
  <si>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仟家巧厨</t>
  </si>
  <si>
    <r>
      <t>宋典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</si>
  <si>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蜂蜜酒;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</si>
  <si>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久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佳佳</t>
    </r>
  </si>
  <si>
    <t>赵桥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</si>
  <si>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食用酒精; 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果酒; 白干酒（中国白酒）;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</si>
  <si>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物</t>
    </r>
    <r>
      <rPr>
        <sz val="11"/>
        <color theme="1"/>
        <rFont val="ＭＳ Ｐゴシック"/>
        <family val="3"/>
        <charset val="134"/>
        <scheme val="minor"/>
      </rPr>
      <t>蕴</t>
    </r>
  </si>
  <si>
    <r>
      <t xml:space="preserve">果酒（含酒精）; 苹果酒; 梨酒; 烈酒;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葡萄酒; 米酒</t>
    </r>
  </si>
  <si>
    <t>遵石板酒坊</t>
  </si>
  <si>
    <r>
      <t>杨</t>
    </r>
    <r>
      <rPr>
        <sz val="11"/>
        <color theme="1"/>
        <rFont val="ＭＳ Ｐゴシック"/>
        <family val="3"/>
        <charset val="128"/>
        <scheme val="minor"/>
      </rPr>
      <t>寒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</si>
  <si>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甜酒; 高粱酒; 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</si>
  <si>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普惠丰食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</si>
  <si>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智品丰食食品有限公司</t>
    </r>
  </si>
  <si>
    <r>
      <t>餐后酒（利口酒和烈酒）;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</si>
  <si>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生先生</t>
  </si>
  <si>
    <t>生旭</t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</si>
  <si>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白酒</t>
    </r>
  </si>
  <si>
    <r>
      <t>满户</t>
    </r>
    <r>
      <rPr>
        <sz val="11"/>
        <color theme="1"/>
        <rFont val="ＭＳ Ｐゴシック"/>
        <family val="3"/>
        <charset val="128"/>
        <scheme val="minor"/>
      </rPr>
      <t>家子</t>
    </r>
  </si>
  <si>
    <t>徐成祥</t>
  </si>
  <si>
    <r>
      <t>烈酒;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</si>
  <si>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强</t>
    </r>
    <r>
      <rPr>
        <sz val="11"/>
        <color theme="1"/>
        <rFont val="ＭＳ Ｐゴシック"/>
        <family val="3"/>
        <charset val="128"/>
        <scheme val="minor"/>
      </rPr>
      <t>力泰</t>
    </r>
  </si>
  <si>
    <t>晋江市彩源釉料科技有限公司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</si>
  <si>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清酒（日本米酒）;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黄酒</t>
    </r>
  </si>
  <si>
    <r>
      <t>满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岛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</si>
  <si>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海云</t>
    </r>
  </si>
  <si>
    <r>
      <t xml:space="preserve">果酒（含酒精）; 米酒;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</t>
    </r>
  </si>
  <si>
    <t>TT</t>
  </si>
  <si>
    <t>弗莱奇有限公司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</si>
  <si>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清酒（日本米酒）;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青稞酒; 果酒（含酒精）</t>
    </r>
  </si>
  <si>
    <t>豆音</t>
  </si>
  <si>
    <r>
      <t>南京宇携浩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</si>
  <si>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烈酒; 梅酒; 果酒; 米酒;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白酒; 清酒</t>
    </r>
  </si>
  <si>
    <t>湘南古郡</t>
  </si>
  <si>
    <r>
      <t>桂阳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江南古泉酒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</si>
  <si>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甜酒; 米酒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</si>
  <si>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运山河</t>
    </r>
  </si>
  <si>
    <r>
      <t>冉</t>
    </r>
    <r>
      <rPr>
        <sz val="11"/>
        <color theme="1"/>
        <rFont val="ＭＳ Ｐゴシック"/>
        <family val="3"/>
        <charset val="134"/>
        <scheme val="minor"/>
      </rPr>
      <t>泽龙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</si>
  <si>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烈酒;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</t>
    </r>
  </si>
  <si>
    <t>一邑粮</t>
  </si>
  <si>
    <r>
      <t>陈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</si>
  <si>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米酒; 梨酒; 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伏特加酒;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</si>
  <si>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王小山</t>
  </si>
  <si>
    <r>
      <t>吉林省王小山商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</si>
  <si>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</t>
    </r>
  </si>
  <si>
    <t>MAGILL BROTHERS</t>
  </si>
  <si>
    <t>王萃菁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</si>
  <si>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</t>
    </r>
  </si>
  <si>
    <r>
      <t>陨</t>
    </r>
    <r>
      <rPr>
        <sz val="11"/>
        <color theme="1"/>
        <rFont val="ＭＳ Ｐゴシック"/>
        <family val="3"/>
        <charset val="128"/>
        <scheme val="minor"/>
      </rPr>
      <t>石湶和</t>
    </r>
    <r>
      <rPr>
        <sz val="11"/>
        <color theme="1"/>
        <rFont val="ＭＳ Ｐゴシック"/>
        <family val="3"/>
        <charset val="134"/>
        <scheme val="minor"/>
      </rPr>
      <t>谐红</t>
    </r>
  </si>
  <si>
    <r>
      <t>湖北欧福商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</si>
  <si>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利口酒; 甜酒; 米酒;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果酒（含酒精）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</si>
  <si>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炫</t>
    </r>
  </si>
  <si>
    <t>程影云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</si>
  <si>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烈酒; 葡萄酒; 威士忌; 白酒; 黄酒</t>
    </r>
  </si>
  <si>
    <t>石桌子冰曲</t>
  </si>
  <si>
    <r>
      <t>苏</t>
    </r>
    <r>
      <rPr>
        <sz val="11"/>
        <color theme="1"/>
        <rFont val="ＭＳ Ｐゴシック"/>
        <family val="3"/>
        <charset val="128"/>
        <scheme val="minor"/>
      </rPr>
      <t>俊</t>
    </r>
  </si>
  <si>
    <r>
      <t xml:space="preserve">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食用酒精; 葡萄酒;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餐后酒（利口酒和烈酒）</t>
    </r>
  </si>
  <si>
    <t>醉香黔客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</si>
  <si>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州窖醇台酒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</si>
  <si>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甜酒; 米酒; 果酒; 青梅酒;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白葡萄酒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</si>
  <si>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佳</t>
    </r>
    <r>
      <rPr>
        <sz val="11"/>
        <color theme="1"/>
        <rFont val="ＭＳ Ｐゴシック"/>
        <family val="3"/>
        <charset val="134"/>
        <scheme val="minor"/>
      </rPr>
      <t>纯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</si>
  <si>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鹏飞</t>
    </r>
  </si>
  <si>
    <r>
      <t>黄酒; 高粱酒;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</si>
  <si>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RICH AND HONOR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</si>
  <si>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岛汇</t>
    </r>
    <r>
      <rPr>
        <sz val="11"/>
        <color theme="1"/>
        <rFont val="ＭＳ Ｐゴシック"/>
        <family val="3"/>
        <charset val="128"/>
        <scheme val="minor"/>
      </rPr>
      <t>臻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</si>
  <si>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</t>
    </r>
  </si>
  <si>
    <t>余生遇</t>
  </si>
  <si>
    <r>
      <t>成都天地</t>
    </r>
    <r>
      <rPr>
        <sz val="11"/>
        <color theme="1"/>
        <rFont val="ＭＳ Ｐゴシック"/>
        <family val="3"/>
        <charset val="134"/>
        <scheme val="minor"/>
      </rPr>
      <t>飘</t>
    </r>
    <r>
      <rPr>
        <sz val="11"/>
        <color theme="1"/>
        <rFont val="ＭＳ Ｐゴシック"/>
        <family val="3"/>
        <charset val="128"/>
        <scheme val="minor"/>
      </rPr>
      <t>香文化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</si>
  <si>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甜果酒; 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</si>
  <si>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迎春花</t>
  </si>
  <si>
    <r>
      <t>海南兟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</si>
  <si>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露酒; 青稞酒; 米酒; 白酒; 黄酒; 果酒; 葡萄酒</t>
    </r>
  </si>
  <si>
    <r>
      <t>塞娜</t>
    </r>
    <r>
      <rPr>
        <sz val="11"/>
        <color theme="1"/>
        <rFont val="ＭＳ Ｐゴシック"/>
        <family val="3"/>
        <charset val="134"/>
        <scheme val="minor"/>
      </rPr>
      <t>丝</t>
    </r>
  </si>
  <si>
    <r>
      <t>宁夏塞香酒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</si>
  <si>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蒸煮提取物（利口酒和烈酒）;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酸酒（低等葡萄酒）;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</si>
  <si>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伊特原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</si>
  <si>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果酒（含酒精）; 米酒; 烈酒; 青稞酒</t>
    </r>
  </si>
  <si>
    <r>
      <t>獭</t>
    </r>
    <r>
      <rPr>
        <sz val="11"/>
        <color theme="1"/>
        <rFont val="ＭＳ Ｐゴシック"/>
        <family val="3"/>
        <charset val="128"/>
        <scheme val="minor"/>
      </rPr>
      <t>聚</t>
    </r>
  </si>
  <si>
    <r>
      <t>张丽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</si>
  <si>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葡萄酒;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威士忌; 果酒（含酒精）; 黄酒</t>
    </r>
  </si>
  <si>
    <t>舜祥</t>
  </si>
  <si>
    <r>
      <t>浙江舜祥酒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</si>
  <si>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葡萄酒;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</si>
  <si>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温斯途</t>
  </si>
  <si>
    <r>
      <t>陆</t>
    </r>
    <r>
      <rPr>
        <sz val="11"/>
        <color theme="1"/>
        <rFont val="ＭＳ Ｐゴシック"/>
        <family val="3"/>
        <charset val="128"/>
        <scheme val="minor"/>
      </rPr>
      <t>川印象生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食品配送有限公司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</si>
  <si>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米酒; 威士忌</t>
    </r>
  </si>
  <si>
    <t>君洽</t>
  </si>
  <si>
    <t>张贵发</t>
  </si>
  <si>
    <r>
      <t xml:space="preserve">白酒; 烈酒; 苦味酒; 食用酒精; 果酒;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酸酒（低等葡萄酒）;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茴芹酒（利口酒）</t>
    </r>
  </si>
  <si>
    <t>梅良人</t>
  </si>
  <si>
    <r>
      <t>张</t>
    </r>
    <r>
      <rPr>
        <sz val="11"/>
        <color theme="1"/>
        <rFont val="ＭＳ Ｐゴシック"/>
        <family val="3"/>
        <charset val="128"/>
        <scheme val="minor"/>
      </rPr>
      <t>文翔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</si>
  <si>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白酒; 利口酒; 青梅酒; 甜果酒;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</si>
  <si>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今大班</t>
  </si>
  <si>
    <t>李春爰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</si>
  <si>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黄酒; 伏特加酒;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</si>
  <si>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伊窖王大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</si>
  <si>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高粱酒; 果酒（含酒精）; 米酒; 烈酒; 青稞酒; 白酒</t>
    </r>
  </si>
  <si>
    <t>陌惜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</si>
  <si>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酿艺电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</si>
  <si>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苦味酒;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蒸煮提取物（利口酒和烈酒）; 葡萄酒</t>
    </r>
  </si>
  <si>
    <r>
      <t>兰缪</t>
    </r>
    <r>
      <rPr>
        <sz val="11"/>
        <color theme="1"/>
        <rFont val="ＭＳ Ｐゴシック"/>
        <family val="3"/>
        <charset val="128"/>
        <scheme val="minor"/>
      </rPr>
      <t>苑</t>
    </r>
  </si>
  <si>
    <r>
      <t>任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珍******************</t>
    </r>
  </si>
  <si>
    <r>
      <t>果酒（含酒精）; 杜松子酒;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苹果酒</t>
    </r>
  </si>
  <si>
    <t>手迹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</si>
  <si>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酿艺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</si>
  <si>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</t>
    </r>
  </si>
  <si>
    <t>壹笔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</si>
  <si>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</si>
  <si>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r>
      <t>夷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</si>
  <si>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于氏酒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</si>
  <si>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水果汽酒</t>
    </r>
  </si>
  <si>
    <r>
      <t>醉美</t>
    </r>
    <r>
      <rPr>
        <sz val="11"/>
        <color theme="1"/>
        <rFont val="ＭＳ Ｐゴシック"/>
        <family val="3"/>
        <charset val="134"/>
        <scheme val="minor"/>
      </rPr>
      <t>龙凤</t>
    </r>
    <r>
      <rPr>
        <sz val="11"/>
        <color theme="1"/>
        <rFont val="ＭＳ Ｐゴシック"/>
        <family val="3"/>
        <charset val="128"/>
        <scheme val="minor"/>
      </rPr>
      <t>呈祥</t>
    </r>
  </si>
  <si>
    <r>
      <t>烈酒;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</si>
  <si>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人以和</t>
    </r>
  </si>
  <si>
    <r>
      <t>朱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汀（</t>
    </r>
    <r>
      <rPr>
        <sz val="11"/>
        <color theme="1"/>
        <rFont val="ＭＳ Ｐゴシック"/>
        <family val="3"/>
        <charset val="134"/>
        <scheme val="minor"/>
      </rPr>
      <t>绍兴</t>
    </r>
    <r>
      <rPr>
        <sz val="11"/>
        <color theme="1"/>
        <rFont val="ＭＳ Ｐゴシック"/>
        <family val="3"/>
        <charset val="128"/>
        <scheme val="minor"/>
      </rPr>
      <t>）黄酒文化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</si>
  <si>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甘蔗制烈酒;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</si>
  <si>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铜</t>
    </r>
    <r>
      <rPr>
        <sz val="11"/>
        <color theme="1"/>
        <rFont val="ＭＳ Ｐゴシック"/>
        <family val="3"/>
        <charset val="128"/>
        <scheme val="minor"/>
      </rPr>
      <t>瓦</t>
    </r>
    <r>
      <rPr>
        <sz val="11"/>
        <color theme="1"/>
        <rFont val="ＭＳ Ｐゴシック"/>
        <family val="3"/>
        <charset val="134"/>
        <scheme val="minor"/>
      </rPr>
      <t>厢</t>
    </r>
    <r>
      <rPr>
        <sz val="11"/>
        <color theme="1"/>
        <rFont val="ＭＳ Ｐゴシック"/>
        <family val="3"/>
        <charset val="128"/>
        <scheme val="minor"/>
      </rPr>
      <t>工匠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</si>
  <si>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考路易酒庄有限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</si>
  <si>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蜂蜜酒; 开胃酒; 米酒; 白酒; 利口酒;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</si>
  <si>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火赤融御</t>
  </si>
  <si>
    <r>
      <t>赵</t>
    </r>
    <r>
      <rPr>
        <sz val="11"/>
        <color theme="1"/>
        <rFont val="ＭＳ Ｐゴシック"/>
        <family val="3"/>
        <charset val="128"/>
        <scheme val="minor"/>
      </rPr>
      <t>美玲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</si>
  <si>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</t>
    </r>
  </si>
  <si>
    <r>
      <t>紫微玄都酒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（北京）有限公司</t>
    </r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</si>
  <si>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烈酒; 高粱酒; 米酒; 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</si>
  <si>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泽</t>
    </r>
    <r>
      <rPr>
        <sz val="11"/>
        <color theme="1"/>
        <rFont val="ＭＳ Ｐゴシック"/>
        <family val="3"/>
        <charset val="128"/>
        <scheme val="minor"/>
      </rPr>
      <t>勤康放心</t>
    </r>
    <r>
      <rPr>
        <sz val="11"/>
        <color theme="1"/>
        <rFont val="ＭＳ Ｐゴシック"/>
        <family val="3"/>
        <charset val="134"/>
        <scheme val="minor"/>
      </rPr>
      <t>购</t>
    </r>
  </si>
  <si>
    <t>胡勤国</t>
  </si>
  <si>
    <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</si>
  <si>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聚富名将</t>
  </si>
  <si>
    <r>
      <t>四川</t>
    </r>
    <r>
      <rPr>
        <sz val="11"/>
        <color theme="1"/>
        <rFont val="ＭＳ Ｐゴシック"/>
        <family val="3"/>
        <charset val="134"/>
        <scheme val="minor"/>
      </rPr>
      <t>纯浆</t>
    </r>
    <r>
      <rPr>
        <sz val="11"/>
        <color theme="1"/>
        <rFont val="ＭＳ Ｐゴシック"/>
        <family val="3"/>
        <charset val="128"/>
        <scheme val="minor"/>
      </rPr>
      <t>玉液酒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</si>
  <si>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食用酒精;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</si>
  <si>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骏</t>
    </r>
    <r>
      <rPr>
        <sz val="11"/>
        <color theme="1"/>
        <rFont val="ＭＳ Ｐゴシック"/>
        <family val="3"/>
        <charset val="128"/>
        <scheme val="minor"/>
      </rPr>
      <t>盛源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</si>
  <si>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岛劲</t>
    </r>
    <r>
      <rPr>
        <sz val="11"/>
        <color theme="1"/>
        <rFont val="ＭＳ Ｐゴシック"/>
        <family val="3"/>
        <charset val="128"/>
        <scheme val="minor"/>
      </rPr>
      <t>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</si>
  <si>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利口酒;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烈酒; 威士忌;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</si>
  <si>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掌柜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</si>
  <si>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掌柜酒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</si>
  <si>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果酒(含酒精);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黄酒;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料);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米酒</t>
    </r>
  </si>
  <si>
    <t>ARMANI DANTE</t>
  </si>
  <si>
    <r>
      <t>泰州市茂世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</si>
  <si>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</si>
  <si>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今年今点</t>
  </si>
  <si>
    <r>
      <t>孙华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</si>
  <si>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>果酒; 烈酒; 米酒; 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高粱酒</t>
    </r>
  </si>
  <si>
    <r>
      <t>臻尚</t>
    </r>
    <r>
      <rPr>
        <sz val="11"/>
        <color theme="1"/>
        <rFont val="ＭＳ Ｐゴシック"/>
        <family val="3"/>
        <charset val="129"/>
        <scheme val="minor"/>
      </rPr>
      <t>烎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</si>
  <si>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州豪</t>
    </r>
    <r>
      <rPr>
        <sz val="11"/>
        <color theme="1"/>
        <rFont val="ＭＳ Ｐゴシック"/>
        <family val="3"/>
        <charset val="134"/>
        <scheme val="minor"/>
      </rPr>
      <t>赢贡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</si>
  <si>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威士忌;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葡萄酒</t>
    </r>
  </si>
  <si>
    <r>
      <t>意茹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遇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</si>
  <si>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</si>
  <si>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葡萄酒; 米酒; 白酒;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</si>
  <si>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厚斧</t>
  </si>
  <si>
    <r>
      <t>诸</t>
    </r>
    <r>
      <rPr>
        <sz val="11"/>
        <color theme="1"/>
        <rFont val="ＭＳ Ｐゴシック"/>
        <family val="3"/>
        <charset val="128"/>
        <scheme val="minor"/>
      </rPr>
      <t>宸智造（上海）工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</si>
  <si>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黄酒;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清酒（日本米酒）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</si>
  <si>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苹果酒; 杜松子酒;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伏特加酒;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</si>
  <si>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望榕台</t>
  </si>
  <si>
    <r>
      <t>福州利</t>
    </r>
    <r>
      <rPr>
        <sz val="11"/>
        <color theme="1"/>
        <rFont val="ＭＳ Ｐゴシック"/>
        <family val="3"/>
        <charset val="134"/>
        <scheme val="minor"/>
      </rPr>
      <t>贞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</si>
  <si>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米酒; 甜酒; 果酒（含酒精）; 葡萄酒</t>
    </r>
  </si>
  <si>
    <t>秦老与酒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</si>
  <si>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市君之品酒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</si>
  <si>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食用酒精;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</si>
  <si>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一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春</t>
    </r>
    <r>
      <rPr>
        <sz val="11"/>
        <color theme="1"/>
        <rFont val="ＭＳ Ｐゴシック"/>
        <family val="3"/>
        <charset val="134"/>
        <scheme val="minor"/>
      </rPr>
      <t>馆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</si>
  <si>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明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</si>
  <si>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葡萄酒;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蒸煮提取物（利口酒和烈酒）; 高粱酒; 黄酒</t>
    </r>
  </si>
  <si>
    <r>
      <t>赊</t>
    </r>
    <r>
      <rPr>
        <sz val="11"/>
        <color theme="1"/>
        <rFont val="ＭＳ Ｐゴシック"/>
        <family val="3"/>
        <charset val="128"/>
        <scheme val="minor"/>
      </rPr>
      <t>盉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</si>
  <si>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白干酒（中国白酒）;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苹果酒;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</si>
  <si>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沙天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</si>
  <si>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果酒（含酒精）; 清酒（日本米酒）;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利口酒; 白酒; 威士忌; 黄酒</t>
    </r>
  </si>
  <si>
    <t>卓香馥</t>
  </si>
  <si>
    <r>
      <t>黄酒; 朗姆酒; 果酒;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白葡萄酒; 青梅酒; 甜酒</t>
    </r>
  </si>
  <si>
    <r>
      <t>东门桥</t>
    </r>
    <r>
      <rPr>
        <sz val="11"/>
        <color theme="1"/>
        <rFont val="ＭＳ Ｐゴシック"/>
        <family val="3"/>
        <charset val="128"/>
        <scheme val="minor"/>
      </rPr>
      <t>冰曲</t>
    </r>
  </si>
  <si>
    <r>
      <t>薄荷酒; 果酒（含酒精）;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葡萄酒; 清酒（日本米酒）; 青稞酒</t>
    </r>
  </si>
  <si>
    <r>
      <t>澳德</t>
    </r>
    <r>
      <rPr>
        <sz val="11"/>
        <color theme="1"/>
        <rFont val="ＭＳ Ｐゴシック"/>
        <family val="3"/>
        <charset val="134"/>
        <scheme val="minor"/>
      </rPr>
      <t>诺</t>
    </r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</si>
  <si>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</si>
  <si>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小五鼎酌</t>
  </si>
  <si>
    <t>王中海</t>
  </si>
  <si>
    <r>
      <t xml:space="preserve">白酒; 露酒;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果酒; 米酒; 黄酒; 甜酒; 葡萄酒</t>
    </r>
  </si>
  <si>
    <t>衡昌醇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</si>
  <si>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衡昌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</si>
  <si>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果酒; 葡萄酒; 白酒; 青稞酒</t>
    </r>
  </si>
  <si>
    <r>
      <t>众回</t>
    </r>
    <r>
      <rPr>
        <sz val="11"/>
        <color theme="1"/>
        <rFont val="ＭＳ Ｐゴシック"/>
        <family val="3"/>
        <charset val="134"/>
        <scheme val="minor"/>
      </rPr>
      <t>圆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</si>
  <si>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盛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康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</si>
  <si>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烈酒; 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</si>
  <si>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享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</si>
  <si>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米酒; 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威士忌;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</si>
  <si>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京丰</t>
    </r>
    <r>
      <rPr>
        <sz val="11"/>
        <color theme="1"/>
        <rFont val="ＭＳ Ｐゴシック"/>
        <family val="3"/>
        <charset val="134"/>
        <scheme val="minor"/>
      </rPr>
      <t>丽泽</t>
    </r>
  </si>
  <si>
    <r>
      <t>北京玉</t>
    </r>
    <r>
      <rPr>
        <sz val="11"/>
        <color theme="1"/>
        <rFont val="ＭＳ Ｐゴシック"/>
        <family val="3"/>
        <charset val="134"/>
        <scheme val="minor"/>
      </rPr>
      <t>实</t>
    </r>
    <r>
      <rPr>
        <sz val="11"/>
        <color theme="1"/>
        <rFont val="ＭＳ Ｐゴシック"/>
        <family val="3"/>
        <charset val="128"/>
        <scheme val="minor"/>
      </rPr>
      <t>八方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</si>
  <si>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</t>
    </r>
  </si>
  <si>
    <r>
      <t>溬</t>
    </r>
    <r>
      <rPr>
        <sz val="11"/>
        <color theme="1"/>
        <rFont val="ＭＳ Ｐゴシック"/>
        <family val="3"/>
        <charset val="128"/>
        <scheme val="minor"/>
      </rPr>
      <t>王</t>
    </r>
  </si>
  <si>
    <r>
      <t>亳州市</t>
    </r>
    <r>
      <rPr>
        <sz val="11"/>
        <color theme="1"/>
        <rFont val="ＭＳ Ｐゴシック"/>
        <family val="3"/>
        <charset val="134"/>
        <scheme val="minor"/>
      </rPr>
      <t>忆</t>
    </r>
    <r>
      <rPr>
        <sz val="11"/>
        <color theme="1"/>
        <rFont val="ＭＳ Ｐゴシック"/>
        <family val="3"/>
        <charset val="128"/>
        <scheme val="minor"/>
      </rPr>
      <t>草堂生物科技有限公司</t>
    </r>
  </si>
  <si>
    <r>
      <t xml:space="preserve">清酒（日本米酒）;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</si>
  <si>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亢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</si>
  <si>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象牙山文化科技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</si>
  <si>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白干酒（中国白酒）; 米酒; 白酒; 果酒（含酒精）; 黄酒</t>
    </r>
  </si>
  <si>
    <r>
      <t>余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多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</si>
  <si>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州省湄潭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永隆粮油有限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</si>
  <si>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白酒; 米酒; 白干酒（中国白酒）;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</si>
  <si>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猴子岩</t>
  </si>
  <si>
    <r>
      <t>福建域通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</si>
  <si>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开胃酒; 清酒; 汽酒; 白酒</t>
    </r>
  </si>
  <si>
    <t>氿魔</t>
  </si>
  <si>
    <r>
      <t>果酒; 葡萄酒;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朗姆酒</t>
    </r>
  </si>
  <si>
    <t>TO MEETUS</t>
  </si>
  <si>
    <r>
      <t>杭州</t>
    </r>
    <r>
      <rPr>
        <sz val="11"/>
        <color theme="1"/>
        <rFont val="ＭＳ Ｐゴシック"/>
        <family val="3"/>
        <charset val="134"/>
        <scheme val="minor"/>
      </rPr>
      <t>阅</t>
    </r>
    <r>
      <rPr>
        <sz val="11"/>
        <color theme="1"/>
        <rFont val="ＭＳ Ｐゴシック"/>
        <family val="3"/>
        <charset val="128"/>
        <scheme val="minor"/>
      </rPr>
      <t>里文化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意有限公司</t>
    </r>
  </si>
  <si>
    <r>
      <t>米酒; 黄酒; 白酒; 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清酒</t>
    </r>
  </si>
  <si>
    <t>DLOUNGE</t>
  </si>
  <si>
    <r>
      <t>四川莱茄酒</t>
    </r>
    <r>
      <rPr>
        <sz val="11"/>
        <color theme="1"/>
        <rFont val="ＭＳ Ｐゴシック"/>
        <family val="3"/>
        <charset val="134"/>
        <scheme val="minor"/>
      </rPr>
      <t>类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</si>
  <si>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麦芽威士忌;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白干酒（中国白酒）; 朗姆酒</t>
    </r>
  </si>
  <si>
    <t>莫大娘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</si>
  <si>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镇创酱</t>
    </r>
    <r>
      <rPr>
        <sz val="11"/>
        <color theme="1"/>
        <rFont val="ＭＳ Ｐゴシック"/>
        <family val="3"/>
        <charset val="128"/>
        <scheme val="minor"/>
      </rPr>
      <t>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）弟娃酒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</si>
  <si>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</si>
  <si>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芙融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</si>
  <si>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州茗爵酒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</si>
  <si>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水果汽酒; 果酒（含酒精）;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</si>
  <si>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t>二十四鹿</t>
  </si>
  <si>
    <t>千秋（上海）健康管理有限公司</t>
  </si>
  <si>
    <r>
      <t xml:space="preserve">利口酒;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汽酒;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黄酒; 果酒（含酒精）</t>
    </r>
  </si>
  <si>
    <t>云想山</t>
  </si>
  <si>
    <r>
      <t>大理宏福酒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</si>
  <si>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苹果酒; 葡萄酒; 果酒（含酒精）</t>
    </r>
  </si>
  <si>
    <t>千重窖</t>
  </si>
  <si>
    <t>董武学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</si>
  <si>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果酒（含酒精）; 黄酒; 葡萄酒; 甜酒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</si>
  <si>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谈</t>
    </r>
  </si>
  <si>
    <r>
      <t>烟台市酒虫子商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</si>
  <si>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</t>
    </r>
  </si>
  <si>
    <t>字孔明</t>
  </si>
  <si>
    <t>李向阳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</si>
  <si>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</si>
  <si>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乾</t>
    </r>
    <r>
      <rPr>
        <sz val="11"/>
        <color theme="1"/>
        <rFont val="ＭＳ Ｐゴシック"/>
        <family val="3"/>
        <charset val="134"/>
        <scheme val="minor"/>
      </rPr>
      <t>赐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</si>
  <si>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中和(海南)投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</si>
  <si>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高粱酒</t>
    </r>
  </si>
  <si>
    <t>画家世界</t>
  </si>
  <si>
    <r>
      <t>西安山水如画文化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</si>
  <si>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清酒; 甜酒; 威士忌; 果酒（含酒精）; 葡萄酒; 米酒; 伏特加酒</t>
    </r>
  </si>
  <si>
    <r>
      <t>奥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博</t>
    </r>
  </si>
  <si>
    <r>
      <t>沁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得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</si>
  <si>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葡萄酒;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</t>
    </r>
  </si>
  <si>
    <r>
      <t>鹭</t>
    </r>
    <r>
      <rPr>
        <sz val="11"/>
        <color theme="1"/>
        <rFont val="ＭＳ Ｐゴシック"/>
        <family val="3"/>
        <charset val="128"/>
        <scheme val="minor"/>
      </rPr>
      <t>游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</si>
  <si>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浙江一墨文化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</si>
  <si>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高粱酒; 白酒;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汽酒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</si>
  <si>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斛元</t>
    </r>
  </si>
  <si>
    <r>
      <t>安徽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斛生物科技开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</si>
  <si>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汽酒; 食用酒精;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</si>
  <si>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遵匠</t>
    </r>
    <r>
      <rPr>
        <sz val="11"/>
        <color theme="1"/>
        <rFont val="ＭＳ Ｐゴシック"/>
        <family val="3"/>
        <charset val="134"/>
        <scheme val="minor"/>
      </rPr>
      <t>鸿</t>
    </r>
  </si>
  <si>
    <t>白酒; 黄酒; 高粱酒; 米酒; 果酒（含酒精）; 甜酒; 青稞酒; 白干酒（中国白酒）; 利口酒; 烈酒</t>
  </si>
  <si>
    <r>
      <t>诗</t>
    </r>
    <r>
      <rPr>
        <sz val="11"/>
        <color theme="1"/>
        <rFont val="ＭＳ Ｐゴシック"/>
        <family val="3"/>
        <charset val="128"/>
        <scheme val="minor"/>
      </rPr>
      <t>仙太白夏韵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</si>
  <si>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</si>
  <si>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醇来佳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</si>
  <si>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功松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</si>
  <si>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黄酒; 葡萄酒;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</si>
  <si>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青之章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</si>
  <si>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和</t>
    </r>
    <r>
      <rPr>
        <sz val="11"/>
        <color theme="1"/>
        <rFont val="ＭＳ Ｐゴシック"/>
        <family val="3"/>
        <charset val="134"/>
        <scheme val="minor"/>
      </rPr>
      <t>讯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意策划有限公司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</si>
  <si>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</si>
  <si>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清之敏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</si>
  <si>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</t>
    </r>
  </si>
  <si>
    <r>
      <t>湖</t>
    </r>
    <r>
      <rPr>
        <sz val="11"/>
        <color theme="1"/>
        <rFont val="ＭＳ Ｐゴシック"/>
        <family val="3"/>
        <charset val="134"/>
        <scheme val="minor"/>
      </rPr>
      <t>谛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</si>
  <si>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谛</t>
    </r>
  </si>
  <si>
    <r>
      <t>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黄酒; 烈性干酒;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</si>
  <si>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HARSIDE</t>
  </si>
  <si>
    <r>
      <t>莆田市</t>
    </r>
    <r>
      <rPr>
        <sz val="11"/>
        <color theme="1"/>
        <rFont val="ＭＳ Ｐゴシック"/>
        <family val="3"/>
        <charset val="134"/>
        <scheme val="minor"/>
      </rPr>
      <t>凯尔</t>
    </r>
    <r>
      <rPr>
        <sz val="11"/>
        <color theme="1"/>
        <rFont val="ＭＳ Ｐゴシック"/>
        <family val="3"/>
        <charset val="128"/>
        <scheme val="minor"/>
      </rPr>
      <t>特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</si>
  <si>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食用酒精; 米酒; 果酒（含酒精）; 白酒</t>
    </r>
  </si>
  <si>
    <r>
      <t>白酒; 葡萄酒; 黄酒;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</si>
  <si>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韶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</si>
  <si>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嘉洹</t>
    </r>
  </si>
  <si>
    <r>
      <t xml:space="preserve">果酒（含酒精）; 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</si>
  <si>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黔阳王</t>
  </si>
  <si>
    <r>
      <t>李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</si>
  <si>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米酒; 高粱酒; 黄酒</t>
    </r>
  </si>
  <si>
    <t>酌挺花</t>
  </si>
  <si>
    <r>
      <t>徐州成浩文化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</si>
  <si>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黄酒; 米酒;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</si>
  <si>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物粹</t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</si>
  <si>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物粹堂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</si>
  <si>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食用酒精; 白酒; 高粱酒;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</si>
  <si>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贵龙</t>
    </r>
    <r>
      <rPr>
        <sz val="11"/>
        <color theme="1"/>
        <rFont val="ＭＳ Ｐゴシック"/>
        <family val="3"/>
        <charset val="128"/>
        <scheme val="minor"/>
      </rPr>
      <t>仁</t>
    </r>
  </si>
  <si>
    <r>
      <t>威士忌; 果酒（含酒精）;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利口酒; 黄酒; 白酒; 米酒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</si>
  <si>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氏太极</t>
    </r>
  </si>
  <si>
    <r>
      <t xml:space="preserve">清酒; 利口酒; 果酒（含酒精）;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</si>
  <si>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摘雨</t>
  </si>
  <si>
    <r>
      <t>海南宇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</si>
  <si>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日本梅子酒; 日式甜米酒;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蜂蜜酒; 果酒（含酒精）; 高粱酒</t>
    </r>
  </si>
  <si>
    <t>玖智慧</t>
  </si>
  <si>
    <r>
      <t>果酒（含酒精）;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</si>
  <si>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帕斯蜜斯</t>
  </si>
  <si>
    <r>
      <t>达欧酒庄有限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</si>
  <si>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起泡白葡萄酒; 葡萄汽酒;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加烈葡萄酒; 白酒; 餐后酒（利口酒和烈酒）;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</si>
  <si>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孟樽</t>
  </si>
  <si>
    <r>
      <t>吉林省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瑞康医</t>
    </r>
    <r>
      <rPr>
        <sz val="11"/>
        <color theme="1"/>
        <rFont val="ＭＳ Ｐゴシック"/>
        <family val="3"/>
        <charset val="134"/>
        <scheme val="minor"/>
      </rPr>
      <t>疗设备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</si>
  <si>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果酒（含酒精）; 白酒; 开胃酒; 清酒（日本米酒）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</si>
  <si>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利口酒; 葡萄酒</t>
    </r>
  </si>
  <si>
    <r>
      <t>龙卫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</si>
  <si>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汽酒; 白酒;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清酒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</si>
  <si>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仙太白冬韵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</si>
  <si>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葡萄酒</t>
    </r>
  </si>
  <si>
    <t>燃色</t>
  </si>
  <si>
    <t>牟必均</t>
  </si>
  <si>
    <r>
      <t xml:space="preserve">果酒（含酒精）;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</si>
  <si>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回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</si>
  <si>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湖南省瑞源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</si>
  <si>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葡萄酒;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果酒（含酒精）; 高粱酒</t>
    </r>
  </si>
  <si>
    <t>七星云露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</si>
  <si>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州富山地</t>
    </r>
    <r>
      <rPr>
        <sz val="11"/>
        <color theme="1"/>
        <rFont val="ＭＳ Ｐゴシック"/>
        <family val="3"/>
        <charset val="134"/>
        <scheme val="minor"/>
      </rPr>
      <t>质环</t>
    </r>
    <r>
      <rPr>
        <sz val="11"/>
        <color theme="1"/>
        <rFont val="ＭＳ Ｐゴシック"/>
        <family val="3"/>
        <charset val="128"/>
        <scheme val="minor"/>
      </rPr>
      <t>境勘</t>
    </r>
    <r>
      <rPr>
        <sz val="11"/>
        <color theme="1"/>
        <rFont val="ＭＳ Ｐゴシック"/>
        <family val="3"/>
        <charset val="134"/>
        <scheme val="minor"/>
      </rPr>
      <t>测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</si>
  <si>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黄酒; 米酒;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梨酒; 果酒（含酒精）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</si>
  <si>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禧越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</si>
  <si>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筑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</si>
  <si>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</si>
  <si>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澳溪</t>
    </r>
    <r>
      <rPr>
        <sz val="11"/>
        <color theme="1"/>
        <rFont val="ＭＳ Ｐゴシック"/>
        <family val="3"/>
        <charset val="134"/>
        <scheme val="minor"/>
      </rPr>
      <t>红颜</t>
    </r>
  </si>
  <si>
    <r>
      <t>营</t>
    </r>
    <r>
      <rPr>
        <sz val="11"/>
        <color theme="1"/>
        <rFont val="ＭＳ Ｐゴシック"/>
        <family val="3"/>
        <charset val="128"/>
        <scheme val="minor"/>
      </rPr>
      <t>口澳溪商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</si>
  <si>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</si>
  <si>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宁正城元</t>
  </si>
  <si>
    <r>
      <t>承德星瀚商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</si>
  <si>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汽酒; 葡萄酒</t>
    </r>
  </si>
  <si>
    <r>
      <t>一方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 xml:space="preserve"> 一方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·放心住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</si>
  <si>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宁尼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科达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保材料有限公司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</si>
  <si>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白干酒（中国白酒）;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清酒</t>
    </r>
  </si>
  <si>
    <t>硬虎富</t>
  </si>
  <si>
    <t>吴昌泰</t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</si>
  <si>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葡萄酒</t>
    </r>
  </si>
  <si>
    <r>
      <t>舌尖</t>
    </r>
    <r>
      <rPr>
        <sz val="11"/>
        <color theme="1"/>
        <rFont val="ＭＳ Ｐゴシック"/>
        <family val="3"/>
        <charset val="134"/>
        <scheme val="minor"/>
      </rPr>
      <t>历险记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</si>
  <si>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梅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</si>
  <si>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</si>
  <si>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伾山仙</t>
  </si>
  <si>
    <r>
      <t>浚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金沙运河酒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</si>
  <si>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高粱酒; 果酒（含酒精）; 露酒; 黄酒; 白酒; 米酒</t>
    </r>
  </si>
  <si>
    <t>麦万和</t>
  </si>
  <si>
    <r>
      <t>云南布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</si>
  <si>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甜酒; 清酒; 青稞酒</t>
    </r>
  </si>
  <si>
    <t>豪影</t>
  </si>
  <si>
    <r>
      <t>吕刚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</si>
  <si>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果酒（含酒精）; 柑香酒; 葡萄酒</t>
    </r>
  </si>
  <si>
    <t>塔拉荣耀 TARA GLORY TRADE</t>
  </si>
  <si>
    <r>
      <t>葡萄酒; 黄酒; 烈酒;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梅酒;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</si>
  <si>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布景</t>
  </si>
  <si>
    <r>
      <t xml:space="preserve">甜酒; 米酒;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露酒; 果酒（含酒精）; 葡萄酒; 青稞酒; 白酒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</si>
  <si>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仙太白春韵</t>
    </r>
  </si>
  <si>
    <r>
      <t xml:space="preserve">果酒（含酒精）;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</si>
  <si>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倩儿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</si>
  <si>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清酒;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葡萄酒</t>
    </r>
  </si>
  <si>
    <r>
      <t>进</t>
    </r>
    <r>
      <rPr>
        <sz val="11"/>
        <color theme="1"/>
        <rFont val="ＭＳ Ｐゴシック"/>
        <family val="3"/>
        <charset val="128"/>
        <scheme val="minor"/>
      </rPr>
      <t>如</t>
    </r>
  </si>
  <si>
    <t>李家俊</t>
  </si>
  <si>
    <r>
      <t>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</si>
  <si>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五女冰谷</t>
  </si>
  <si>
    <r>
      <t>桓仁五女酒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</si>
  <si>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白酒; 葡萄酒;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</si>
  <si>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相如桑梓</t>
  </si>
  <si>
    <r>
      <t>四川相如桑梓酒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</si>
  <si>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食用酒精; 葡萄酒;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</si>
  <si>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镇欢</t>
    </r>
    <r>
      <rPr>
        <sz val="11"/>
        <color theme="1"/>
        <rFont val="ＭＳ Ｐゴシック"/>
        <family val="3"/>
        <charset val="128"/>
        <scheme val="minor"/>
      </rPr>
      <t>粮液</t>
    </r>
  </si>
  <si>
    <r>
      <t>威海伍福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</si>
  <si>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蜂蜜酒;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</t>
    </r>
  </si>
  <si>
    <t>三春好合</t>
  </si>
  <si>
    <t>蔡源</t>
  </si>
  <si>
    <r>
      <t>葡萄酒; 黄酒; 蜂蜜酒; 米酒; 开胃酒; 白酒;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</si>
  <si>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邮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</si>
  <si>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州工律信用管理服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</si>
  <si>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</t>
    </r>
  </si>
  <si>
    <t>再伙豪</t>
  </si>
  <si>
    <r>
      <t>广西土司文化旅游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</si>
  <si>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</si>
  <si>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潋缘</t>
  </si>
  <si>
    <r>
      <t>兴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潋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</si>
  <si>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</t>
    </r>
  </si>
  <si>
    <t>阳灵智益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</si>
  <si>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嘉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生物化工有限公司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</si>
  <si>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</si>
  <si>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亮玫</t>
  </si>
  <si>
    <r>
      <t>昊亮文化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媒（深圳）有限公司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</si>
  <si>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白酒; 威士忌;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伏特加酒;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</si>
  <si>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t>工星人</t>
  </si>
  <si>
    <r>
      <t>工星人工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互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网（宁波）有限公司</t>
    </r>
  </si>
  <si>
    <r>
      <t>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米酒; 白酒</t>
    </r>
  </si>
  <si>
    <t>麦卡森</t>
  </si>
  <si>
    <t>李斌</t>
  </si>
  <si>
    <r>
      <t>米酒;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</si>
  <si>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青毡</t>
  </si>
  <si>
    <r>
      <t>桂林大成酒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</si>
  <si>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薄荷酒</t>
    </r>
  </si>
  <si>
    <t>琴君酒</t>
  </si>
  <si>
    <r>
      <t>成都市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泰包装材料有限公司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</si>
  <si>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</si>
  <si>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悠</t>
    </r>
  </si>
  <si>
    <r>
      <t>卿立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</si>
  <si>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蒸煮提取物（利口酒和烈酒）;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</si>
  <si>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莱茄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</si>
  <si>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白酒; 葡萄酒; 果酒（含酒精）;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</si>
  <si>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阿仕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</si>
  <si>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威士忌; 黄酒</t>
    </r>
  </si>
  <si>
    <t>一城壹相</t>
  </si>
  <si>
    <r>
      <t>深圳墨印生活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</si>
  <si>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</si>
  <si>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幻醒大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</si>
  <si>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威士忌; 白酒;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</si>
  <si>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君君醇</t>
  </si>
  <si>
    <t>四川新朝福湾品牌管理有限公司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</si>
  <si>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果酒（含酒精）;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蜂蜜酒</t>
    </r>
  </si>
  <si>
    <r>
      <t>糯</t>
    </r>
    <r>
      <rPr>
        <sz val="11"/>
        <color theme="1"/>
        <rFont val="ＭＳ Ｐゴシック"/>
        <family val="3"/>
        <charset val="134"/>
        <scheme val="minor"/>
      </rPr>
      <t>红红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</si>
  <si>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果酒（含酒精）; 蒸煮提取物（利口酒和烈酒）;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</si>
  <si>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火赤融</t>
  </si>
  <si>
    <r>
      <t>食用酒精;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</si>
  <si>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芳菁</t>
    </r>
    <r>
      <rPr>
        <sz val="11"/>
        <color theme="1"/>
        <rFont val="ＭＳ Ｐゴシック"/>
        <family val="3"/>
        <charset val="134"/>
        <scheme val="minor"/>
      </rPr>
      <t>纯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</si>
  <si>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雪芹</t>
    </r>
  </si>
  <si>
    <t>开胃酒; 果酒; 白酒; 米酒; 甜酒; 汽酒; 清酒; 葡萄酒; 食用酒精; 黄酒</t>
  </si>
  <si>
    <r>
      <t>陨</t>
    </r>
    <r>
      <rPr>
        <sz val="11"/>
        <color theme="1"/>
        <rFont val="ＭＳ Ｐゴシック"/>
        <family val="3"/>
        <charset val="128"/>
        <scheme val="minor"/>
      </rPr>
      <t>石湶追梦青</t>
    </r>
  </si>
  <si>
    <r>
      <t xml:space="preserve">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汽酒;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</si>
  <si>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万得利</t>
  </si>
  <si>
    <r>
      <t>湖北万得利商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</si>
  <si>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清酒; 果酒（含酒精）; 白酒; 利口酒; 威士忌;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高粱酒</t>
    </r>
  </si>
  <si>
    <t>伊窖王黄王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</si>
  <si>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白酒; 葡萄酒; 烈酒; 青稞酒</t>
    </r>
  </si>
  <si>
    <t>万合祥</t>
  </si>
  <si>
    <r>
      <t>许</t>
    </r>
    <r>
      <rPr>
        <sz val="11"/>
        <color theme="1"/>
        <rFont val="ＭＳ Ｐゴシック"/>
        <family val="3"/>
        <charset val="128"/>
        <scheme val="minor"/>
      </rPr>
      <t>昌市万合祥商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</si>
  <si>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米酒; 果酒（含酒精）; 白葡萄酒; 葡萄汽酒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</si>
  <si>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氏太极小酒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</si>
  <si>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开胃酒; 果酒（含酒精）; 白酒; 米酒</t>
    </r>
  </si>
  <si>
    <t>紫草潭</t>
  </si>
  <si>
    <r>
      <t>张</t>
    </r>
    <r>
      <rPr>
        <sz val="11"/>
        <color theme="1"/>
        <rFont val="ＭＳ Ｐゴシック"/>
        <family val="3"/>
        <charset val="128"/>
        <scheme val="minor"/>
      </rPr>
      <t>家界</t>
    </r>
    <r>
      <rPr>
        <sz val="11"/>
        <color theme="1"/>
        <rFont val="ＭＳ Ｐゴシック"/>
        <family val="3"/>
        <charset val="134"/>
        <scheme val="minor"/>
      </rPr>
      <t>鲵</t>
    </r>
    <r>
      <rPr>
        <sz val="11"/>
        <color theme="1"/>
        <rFont val="ＭＳ Ｐゴシック"/>
        <family val="3"/>
        <charset val="128"/>
        <scheme val="minor"/>
      </rPr>
      <t>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</si>
  <si>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青稞酒</t>
    </r>
  </si>
  <si>
    <t>BLANTI</t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</si>
  <si>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葡萄酒; 薄荷酒</t>
    </r>
  </si>
  <si>
    <t>包子就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</si>
  <si>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利口酒;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食用酒精; 葡萄酒; 苦味酒; 白酒</t>
    </r>
  </si>
  <si>
    <t>本愿堂金水木</t>
  </si>
  <si>
    <t>海南融源大健康科技有限公司</t>
  </si>
  <si>
    <r>
      <t xml:space="preserve">开胃酒;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</si>
  <si>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云洞春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</si>
  <si>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青州云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</si>
  <si>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果酒（含酒精）;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利口酒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</si>
  <si>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峡</t>
    </r>
  </si>
  <si>
    <r>
      <t>苏现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</si>
  <si>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威士忌; 开胃酒; 烈酒; 清酒（日本米酒）;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</t>
    </r>
  </si>
  <si>
    <t>首皇酒和友</t>
  </si>
  <si>
    <r>
      <t xml:space="preserve">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</si>
  <si>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匠</t>
    </r>
    <r>
      <rPr>
        <sz val="11"/>
        <color theme="1"/>
        <rFont val="ＭＳ Ｐゴシック"/>
        <family val="3"/>
        <charset val="134"/>
        <scheme val="minor"/>
      </rPr>
      <t>华颂</t>
    </r>
  </si>
  <si>
    <t>白酒; 黄酒; 米酒; 青稞酒; 甜酒; 高粱酒; 果酒（含酒精）; 白干酒（中国白酒）; 利口酒; 烈酒</t>
  </si>
  <si>
    <r>
      <t>如意</t>
    </r>
    <r>
      <rPr>
        <sz val="11"/>
        <color theme="1"/>
        <rFont val="ＭＳ Ｐゴシック"/>
        <family val="3"/>
        <charset val="134"/>
        <scheme val="minor"/>
      </rPr>
      <t>龙</t>
    </r>
  </si>
  <si>
    <t>中韵控股（广州）有限公司</t>
  </si>
  <si>
    <r>
      <t>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</si>
  <si>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与米</t>
    </r>
    <r>
      <rPr>
        <sz val="11"/>
        <color theme="1"/>
        <rFont val="ＭＳ Ｐゴシック"/>
        <family val="3"/>
        <charset val="134"/>
        <scheme val="minor"/>
      </rPr>
      <t>织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</si>
  <si>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五常市盛世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邦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</si>
  <si>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汽酒; 米酒; 烈酒;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</si>
  <si>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磁悦</t>
  </si>
  <si>
    <r>
      <t>杨</t>
    </r>
    <r>
      <rPr>
        <sz val="11"/>
        <color theme="1"/>
        <rFont val="ＭＳ Ｐゴシック"/>
        <family val="3"/>
        <charset val="128"/>
        <scheme val="minor"/>
      </rPr>
      <t>海亮</t>
    </r>
  </si>
  <si>
    <r>
      <t xml:space="preserve">食用酒精; 黄酒; 苹果酒;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</si>
  <si>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情端一号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</si>
  <si>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州谷爻科技有限公司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</si>
  <si>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青稞酒; 高粱酒; 烈酒;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</si>
  <si>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就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</si>
  <si>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宾铁</t>
    </r>
    <r>
      <rPr>
        <sz val="11"/>
        <color theme="1"/>
        <rFont val="ＭＳ Ｐゴシック"/>
        <family val="3"/>
        <charset val="128"/>
        <scheme val="minor"/>
      </rPr>
      <t>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</si>
  <si>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白酒; 米酒;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</t>
    </r>
  </si>
  <si>
    <t>渝馥禧</t>
  </si>
  <si>
    <r>
      <t>秀山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德美康刺梨种植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</si>
  <si>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高粱酒; 米酒;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甜酒</t>
    </r>
  </si>
  <si>
    <t>醉仙堡</t>
  </si>
  <si>
    <r>
      <t>蔡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</si>
  <si>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蒸煮提取物（利口酒和烈酒）;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</t>
    </r>
  </si>
  <si>
    <t>施阿妹</t>
  </si>
  <si>
    <r>
      <t>陈</t>
    </r>
    <r>
      <rPr>
        <sz val="11"/>
        <color theme="1"/>
        <rFont val="ＭＳ Ｐゴシック"/>
        <family val="3"/>
        <charset val="128"/>
        <scheme val="minor"/>
      </rPr>
      <t>玉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</si>
  <si>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烈酒; 米酒; 含酒精的气泡水; 果酒（含酒精）; 黄酒; 白酒; 青梅酒</t>
    </r>
  </si>
  <si>
    <r>
      <t>塞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雅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</si>
  <si>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葡萄酒; 酸酒（低等葡萄酒）; 白酒;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</si>
  <si>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塞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珠</t>
    </r>
  </si>
  <si>
    <r>
      <t>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</si>
  <si>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沈大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</si>
  <si>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合肥沈大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</si>
  <si>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果酒（含酒精）; 开胃酒; 葡萄酒; 梨酒; 白酒;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米酒</t>
    </r>
  </si>
  <si>
    <t>事功</t>
  </si>
  <si>
    <r>
      <t>温州天宝</t>
    </r>
    <r>
      <rPr>
        <sz val="11"/>
        <color theme="1"/>
        <rFont val="ＭＳ Ｐゴシック"/>
        <family val="3"/>
        <charset val="134"/>
        <scheme val="minor"/>
      </rPr>
      <t>农业综</t>
    </r>
    <r>
      <rPr>
        <sz val="11"/>
        <color theme="1"/>
        <rFont val="ＭＳ Ｐゴシック"/>
        <family val="3"/>
        <charset val="128"/>
        <scheme val="minor"/>
      </rPr>
      <t>合开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</si>
  <si>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开胃酒; 葡萄酒; 利口酒;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</si>
  <si>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福寿玖食玖</t>
  </si>
  <si>
    <r>
      <t>江</t>
    </r>
    <r>
      <rPr>
        <sz val="11"/>
        <color theme="1"/>
        <rFont val="ＭＳ Ｐゴシック"/>
        <family val="3"/>
        <charset val="134"/>
        <scheme val="minor"/>
      </rPr>
      <t>晓丽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</si>
  <si>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果酒（含酒精）;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</si>
  <si>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不旬堂</t>
  </si>
  <si>
    <r>
      <t>上海星光瀚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智能科技有限公司</t>
    </r>
  </si>
  <si>
    <r>
      <t>白酒;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苹果酒;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</si>
  <si>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r>
      <t>环</t>
    </r>
    <r>
      <rPr>
        <sz val="11"/>
        <color theme="1"/>
        <rFont val="ＭＳ Ｐゴシック"/>
        <family val="3"/>
        <charset val="128"/>
        <scheme val="minor"/>
      </rPr>
      <t>江南大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桑蚕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</si>
  <si>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葡萄酒; 米酒; 果酒（含酒精）</t>
    </r>
  </si>
  <si>
    <r>
      <t>璞</t>
    </r>
    <r>
      <rPr>
        <sz val="11"/>
        <color theme="1"/>
        <rFont val="ＭＳ Ｐゴシック"/>
        <family val="3"/>
        <charset val="134"/>
        <scheme val="minor"/>
      </rPr>
      <t>砚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</si>
  <si>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谷酒店管理有限公司</t>
    </r>
  </si>
  <si>
    <r>
      <t>黄酒;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清酒; 梅酒; 威士忌; 白酒; 米酒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</si>
  <si>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白酒; 果酒（含酒精）; 黄酒; 食用酒精; 蒸煮提取物（利口酒和烈酒）</t>
    </r>
  </si>
  <si>
    <t>御初云</t>
  </si>
  <si>
    <r>
      <t>北京索盟互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</si>
  <si>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</si>
  <si>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佩斯敏斯特</t>
  </si>
  <si>
    <r>
      <t>餐后酒（利口酒和烈酒）;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加烈葡萄酒; 起泡白葡萄酒;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</si>
  <si>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如椽</t>
  </si>
  <si>
    <r>
      <t>米酒;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葡萄酒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</si>
  <si>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满陈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</si>
  <si>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娟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</si>
  <si>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</si>
  <si>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花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云</t>
    </r>
  </si>
  <si>
    <r>
      <t>葡萄酒; 甜酒; 果酒（含酒精）;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果酒; 米酒;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</t>
    </r>
  </si>
  <si>
    <t>珍巴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</si>
  <si>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三</t>
    </r>
    <r>
      <rPr>
        <sz val="11"/>
        <color theme="1"/>
        <rFont val="ＭＳ Ｐゴシック"/>
        <family val="3"/>
        <charset val="134"/>
        <scheme val="minor"/>
      </rPr>
      <t>环药业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</si>
  <si>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</si>
  <si>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黔</t>
    </r>
    <r>
      <rPr>
        <sz val="11"/>
        <color theme="1"/>
        <rFont val="ＭＳ Ｐゴシック"/>
        <family val="3"/>
        <charset val="134"/>
        <scheme val="minor"/>
      </rPr>
      <t>赐</t>
    </r>
    <r>
      <rPr>
        <sz val="11"/>
        <color theme="1"/>
        <rFont val="ＭＳ Ｐゴシック"/>
        <family val="3"/>
        <charset val="128"/>
        <scheme val="minor"/>
      </rPr>
      <t>唐</t>
    </r>
  </si>
  <si>
    <t>唐代波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</si>
  <si>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米酒;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</si>
  <si>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静春山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</si>
  <si>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和而不同文化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</si>
  <si>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露酒; 白酒;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高粱酒</t>
    </r>
  </si>
  <si>
    <t>MAGILLE BROTHERS</t>
  </si>
  <si>
    <r>
      <t>白酒; 烈酒; 威士忌;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</si>
  <si>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雕花似</t>
    </r>
    <r>
      <rPr>
        <sz val="11"/>
        <color theme="1"/>
        <rFont val="ＭＳ Ｐゴシック"/>
        <family val="3"/>
        <charset val="134"/>
        <scheme val="minor"/>
      </rPr>
      <t>锦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</si>
  <si>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甘蔗制烈酒;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</si>
  <si>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硬虎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</si>
  <si>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威士忌; 米酒; 葡萄酒; 利口酒; 清酒（日本米酒）</t>
    </r>
  </si>
  <si>
    <t>品粤盛香</t>
  </si>
  <si>
    <t>林健威</t>
  </si>
  <si>
    <r>
      <t>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</si>
  <si>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佳富利</t>
  </si>
  <si>
    <r>
      <t>刘玉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</si>
  <si>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果酒（含酒精）; 朗姆酒;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</t>
    </r>
  </si>
  <si>
    <r>
      <t>九石直</t>
    </r>
    <r>
      <rPr>
        <sz val="11"/>
        <color theme="1"/>
        <rFont val="ＭＳ Ｐゴシック"/>
        <family val="3"/>
        <charset val="134"/>
        <scheme val="minor"/>
      </rPr>
      <t>链</t>
    </r>
  </si>
  <si>
    <r>
      <t>成都音浪酒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</si>
  <si>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蒸煮提取物（利口酒和烈酒）;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</si>
  <si>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德邦益生</t>
  </si>
  <si>
    <r>
      <t>北京怡德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养食品科技有限公司</t>
    </r>
  </si>
  <si>
    <r>
      <t xml:space="preserve">果酒（含酒精）; 杜松子酒;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</si>
  <si>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t>RICHJO</t>
  </si>
  <si>
    <r>
      <t>上海喔喔食品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</si>
  <si>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烈酒; 白干酒（中国白酒）;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</t>
    </r>
  </si>
  <si>
    <r>
      <t>择</t>
    </r>
    <r>
      <rPr>
        <sz val="11"/>
        <color theme="1"/>
        <rFont val="ＭＳ Ｐゴシック"/>
        <family val="3"/>
        <charset val="128"/>
        <scheme val="minor"/>
      </rPr>
      <t>槑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</si>
  <si>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择</t>
    </r>
    <r>
      <rPr>
        <sz val="11"/>
        <color theme="1"/>
        <rFont val="ＭＳ Ｐゴシック"/>
        <family val="3"/>
        <charset val="128"/>
        <scheme val="minor"/>
      </rPr>
      <t>一茶号有限公司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</si>
  <si>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</si>
  <si>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江山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</si>
  <si>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高粱酒;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葡萄酒</t>
    </r>
  </si>
  <si>
    <t>黔王人</t>
  </si>
  <si>
    <r>
      <t>葡萄酒; 清酒（日本米酒）; 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</si>
  <si>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九九茸升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</si>
  <si>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春市双阳区</t>
    </r>
    <r>
      <rPr>
        <sz val="11"/>
        <color theme="1"/>
        <rFont val="ＭＳ Ｐゴシック"/>
        <family val="3"/>
        <charset val="134"/>
        <scheme val="minor"/>
      </rPr>
      <t>鸿亿</t>
    </r>
    <r>
      <rPr>
        <sz val="11"/>
        <color theme="1"/>
        <rFont val="ＭＳ Ｐゴシック"/>
        <family val="3"/>
        <charset val="128"/>
        <scheme val="minor"/>
      </rPr>
      <t>鹿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</si>
  <si>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清酒; 果酒（含酒精）; 葡萄酒; 蜂蜜酒; 果酒; 黄酒; 露酒;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</si>
  <si>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桔</t>
    </r>
  </si>
  <si>
    <r>
      <t xml:space="preserve">米酒; 黄酒;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利口酒; 果酒（含酒精）;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</si>
  <si>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芝愈</t>
  </si>
  <si>
    <r>
      <t>广州市和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</si>
  <si>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果酒（含酒精）; 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白酒; 黄酒; 食用酒精</t>
    </r>
  </si>
  <si>
    <r>
      <t>铭</t>
    </r>
    <r>
      <rPr>
        <sz val="11"/>
        <color theme="1"/>
        <rFont val="ＭＳ Ｐゴシック"/>
        <family val="3"/>
        <charset val="128"/>
        <scheme val="minor"/>
      </rPr>
      <t>珍</t>
    </r>
  </si>
  <si>
    <r>
      <t>广州市从化区</t>
    </r>
    <r>
      <rPr>
        <sz val="11"/>
        <color theme="1"/>
        <rFont val="ＭＳ Ｐゴシック"/>
        <family val="3"/>
        <charset val="134"/>
        <scheme val="minor"/>
      </rPr>
      <t>鳌头铭</t>
    </r>
    <r>
      <rPr>
        <sz val="11"/>
        <color theme="1"/>
        <rFont val="ＭＳ Ｐゴシック"/>
        <family val="3"/>
        <charset val="128"/>
        <scheme val="minor"/>
      </rPr>
      <t>珍</t>
    </r>
    <r>
      <rPr>
        <sz val="11"/>
        <color theme="1"/>
        <rFont val="ＭＳ Ｐゴシック"/>
        <family val="3"/>
        <charset val="134"/>
        <scheme val="minor"/>
      </rPr>
      <t>纯</t>
    </r>
    <r>
      <rPr>
        <sz val="11"/>
        <color theme="1"/>
        <rFont val="ＭＳ Ｐゴシック"/>
        <family val="3"/>
        <charset val="128"/>
        <scheme val="minor"/>
      </rPr>
      <t>粮酒坊</t>
    </r>
  </si>
  <si>
    <r>
      <t>果酒（含酒精）; 开胃酒; 餐后酒（利口酒和烈酒）; 米酒;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</si>
  <si>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小醺</t>
    </r>
  </si>
  <si>
    <r>
      <t>白酒;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甘蔗制烈酒;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</si>
  <si>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伊窖王荣耀</t>
  </si>
  <si>
    <r>
      <t xml:space="preserve">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青稞酒; 高粱酒; 果酒（含酒精）</t>
    </r>
  </si>
  <si>
    <t>玖捌和荣</t>
  </si>
  <si>
    <t>海南恒源宏智慧数字有限公司</t>
  </si>
  <si>
    <r>
      <t xml:space="preserve">高粱酒; 白干酒（中国白酒）;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开胃酒; 白酒</t>
    </r>
  </si>
  <si>
    <t>海宴山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</si>
  <si>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朗姆酒;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</si>
  <si>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新峰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雅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</si>
  <si>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果酒（含酒精）; 食用酒精; 白酒; 朗姆酒;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</t>
    </r>
  </si>
  <si>
    <r>
      <t>西域天使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</si>
  <si>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</t>
    </r>
  </si>
  <si>
    <t>千杯吟</t>
  </si>
  <si>
    <r>
      <t>孙</t>
    </r>
    <r>
      <rPr>
        <sz val="11"/>
        <color theme="1"/>
        <rFont val="ＭＳ Ｐゴシック"/>
        <family val="3"/>
        <charset val="128"/>
        <scheme val="minor"/>
      </rPr>
      <t>其芳</t>
    </r>
  </si>
  <si>
    <r>
      <t>黄酒; 威士忌;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开胃酒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</si>
  <si>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庄七彩</t>
    </r>
  </si>
  <si>
    <r>
      <t>李国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</si>
  <si>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 xml:space="preserve">威士忌;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葡萄酒;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</si>
  <si>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玺</t>
    </r>
    <r>
      <rPr>
        <sz val="11"/>
        <color theme="1"/>
        <rFont val="ＭＳ Ｐゴシック"/>
        <family val="3"/>
        <charset val="128"/>
        <scheme val="minor"/>
      </rPr>
      <t>云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</si>
  <si>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云</t>
    </r>
  </si>
  <si>
    <r>
      <t xml:space="preserve">白酒; 米酒; 威士忌;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</si>
  <si>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广健密</t>
    </r>
    <r>
      <rPr>
        <sz val="11"/>
        <color theme="1"/>
        <rFont val="ＭＳ Ｐゴシック"/>
        <family val="3"/>
        <charset val="134"/>
        <scheme val="minor"/>
      </rPr>
      <t>斋</t>
    </r>
  </si>
  <si>
    <t>浙江广健生物科技有限公司</t>
  </si>
  <si>
    <r>
      <t>葡萄酒; 米酒; 起泡白葡萄酒;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蝮蛇酒;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</si>
  <si>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壹双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</si>
  <si>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</si>
  <si>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黄酒;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</si>
  <si>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露春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</si>
  <si>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世秘茶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</si>
  <si>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>威士忌; 白酒; 葡萄酒; 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</si>
  <si>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川瑜世家</t>
  </si>
  <si>
    <r>
      <t>涂</t>
    </r>
    <r>
      <rPr>
        <sz val="11"/>
        <color theme="1"/>
        <rFont val="ＭＳ Ｐゴシック"/>
        <family val="3"/>
        <charset val="134"/>
        <scheme val="minor"/>
      </rPr>
      <t>兰兰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</si>
  <si>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</si>
  <si>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中新富溪</t>
  </si>
  <si>
    <t>江西中新科技有限公司</t>
  </si>
  <si>
    <r>
      <t xml:space="preserve">高粱酒; 烈酒; 白酒;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</si>
  <si>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武酩帝</t>
  </si>
  <si>
    <r>
      <t>邓</t>
    </r>
    <r>
      <rPr>
        <sz val="11"/>
        <color theme="1"/>
        <rFont val="ＭＳ Ｐゴシック"/>
        <family val="3"/>
        <charset val="128"/>
        <scheme val="minor"/>
      </rPr>
      <t>杰炎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</si>
  <si>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烈酒;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威士忌; 清酒（日本米酒）</t>
    </r>
  </si>
  <si>
    <t>梵邛江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</si>
  <si>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山水</t>
    </r>
    <r>
      <rPr>
        <sz val="11"/>
        <color theme="1"/>
        <rFont val="ＭＳ Ｐゴシック"/>
        <family val="3"/>
        <charset val="134"/>
        <scheme val="minor"/>
      </rPr>
      <t>矿</t>
    </r>
    <r>
      <rPr>
        <sz val="11"/>
        <color theme="1"/>
        <rFont val="ＭＳ Ｐゴシック"/>
        <family val="3"/>
        <charset val="128"/>
        <scheme val="minor"/>
      </rPr>
      <t>友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</si>
  <si>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汽酒; 果酒（含酒精）;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食用酒精</t>
    </r>
  </si>
  <si>
    <r>
      <t>道孚雪域卓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</si>
  <si>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</si>
  <si>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双舍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</si>
  <si>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南鑫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达建材有限公司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</si>
  <si>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高粱酒; 白干酒（中国白酒）; 青稞酒; 果酒（含酒精）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</si>
  <si>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嬄</t>
    </r>
    <r>
      <rPr>
        <sz val="11"/>
        <color theme="1"/>
        <rFont val="ＭＳ Ｐゴシック"/>
        <family val="3"/>
        <charset val="128"/>
        <scheme val="minor"/>
      </rPr>
      <t>万相</t>
    </r>
  </si>
  <si>
    <t>杭州大医万相健康管理有限公司</t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</si>
  <si>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朗姆酒;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</si>
  <si>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巧布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象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</si>
  <si>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谆</t>
    </r>
    <r>
      <rPr>
        <sz val="11"/>
        <color theme="1"/>
        <rFont val="ＭＳ Ｐゴシック"/>
        <family val="3"/>
        <charset val="128"/>
        <scheme val="minor"/>
      </rPr>
      <t>臻商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</si>
  <si>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葡萄酒;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</si>
  <si>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</si>
  <si>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清市海</t>
    </r>
    <r>
      <rPr>
        <sz val="11"/>
        <color theme="1"/>
        <rFont val="ＭＳ Ｐゴシック"/>
        <family val="3"/>
        <charset val="134"/>
        <scheme val="minor"/>
      </rPr>
      <t>泽贸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</si>
  <si>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伏特加酒</t>
    </r>
  </si>
  <si>
    <r>
      <t>漨</t>
    </r>
    <r>
      <rPr>
        <sz val="11"/>
        <color theme="1"/>
        <rFont val="ＭＳ Ｐゴシック"/>
        <family val="3"/>
        <charset val="128"/>
        <scheme val="minor"/>
      </rPr>
      <t>水</t>
    </r>
  </si>
  <si>
    <t>海棠</t>
  </si>
  <si>
    <r>
      <t>青稞酒; 葡萄酒; 白酒; 米酒;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开胃酒;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</si>
  <si>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战龙</t>
    </r>
    <r>
      <rPr>
        <sz val="11"/>
        <color theme="1"/>
        <rFont val="ＭＳ Ｐゴシック"/>
        <family val="3"/>
        <charset val="128"/>
        <scheme val="minor"/>
      </rPr>
      <t>皓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</si>
  <si>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战龙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</si>
  <si>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高粱酒; 米酒; 葡萄酒; 伏特加酒; 朗姆酒; 黄酒; 烈酒</t>
    </r>
  </si>
  <si>
    <t>听河</t>
  </si>
  <si>
    <r>
      <t>朱</t>
    </r>
    <r>
      <rPr>
        <sz val="11"/>
        <color theme="1"/>
        <rFont val="ＭＳ Ｐゴシック"/>
        <family val="3"/>
        <charset val="134"/>
        <scheme val="minor"/>
      </rPr>
      <t>卫红</t>
    </r>
  </si>
  <si>
    <r>
      <t>威士忌;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黄酒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</si>
  <si>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市北朝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</si>
  <si>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白葡萄酒;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</si>
  <si>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麦小仙</t>
  </si>
  <si>
    <r>
      <t>泸县</t>
    </r>
    <r>
      <rPr>
        <sz val="11"/>
        <color theme="1"/>
        <rFont val="ＭＳ Ｐゴシック"/>
        <family val="3"/>
        <charset val="128"/>
        <scheme val="minor"/>
      </rPr>
      <t>海潮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酒姑娘白酒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售店</t>
    </r>
  </si>
  <si>
    <t>果酒; 白酒; 葡萄酒</t>
  </si>
  <si>
    <r>
      <t>易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之公</t>
    </r>
  </si>
  <si>
    <t>易一宇</t>
  </si>
  <si>
    <r>
      <t xml:space="preserve">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</si>
  <si>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虞外婆</t>
  </si>
  <si>
    <r>
      <t>虞旭</t>
    </r>
    <r>
      <rPr>
        <sz val="11"/>
        <color theme="1"/>
        <rFont val="ＭＳ Ｐゴシック"/>
        <family val="3"/>
        <charset val="134"/>
        <scheme val="minor"/>
      </rPr>
      <t>鸣</t>
    </r>
  </si>
  <si>
    <t>米酒</t>
  </si>
  <si>
    <r>
      <t xml:space="preserve">白酒; 利口酒;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梨酒; 清酒（日本米酒）; 青稞酒; 开胃酒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</si>
  <si>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昌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</si>
  <si>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进贤县莲</t>
    </r>
    <r>
      <rPr>
        <sz val="11"/>
        <color theme="1"/>
        <rFont val="ＭＳ Ｐゴシック"/>
        <family val="3"/>
        <charset val="128"/>
        <scheme val="minor"/>
      </rPr>
      <t>塘酒厂</t>
    </r>
  </si>
  <si>
    <r>
      <t>果酒（含酒精）; 餐后酒（利口酒和烈酒）; 米酒; 朗姆酒;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青稞酒</t>
    </r>
  </si>
  <si>
    <t>太子道</t>
  </si>
  <si>
    <r>
      <t>海南起泉商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</si>
  <si>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薄荷酒;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果酒; 白酒; 开胃酒; 威士忌</t>
    </r>
  </si>
  <si>
    <r>
      <t>六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皇</t>
    </r>
  </si>
  <si>
    <r>
      <t>六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黄麻小快</t>
    </r>
    <r>
      <rPr>
        <sz val="11"/>
        <color theme="1"/>
        <rFont val="ＭＳ Ｐゴシック"/>
        <family val="3"/>
        <charset val="134"/>
        <scheme val="minor"/>
      </rPr>
      <t>闪</t>
    </r>
    <r>
      <rPr>
        <sz val="11"/>
        <color theme="1"/>
        <rFont val="ＭＳ Ｐゴシック"/>
        <family val="3"/>
        <charset val="128"/>
        <scheme val="minor"/>
      </rPr>
      <t>（大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</si>
  <si>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薄荷酒;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</si>
  <si>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t>丰坦</t>
  </si>
  <si>
    <r>
      <t>韩</t>
    </r>
    <r>
      <rPr>
        <sz val="11"/>
        <color theme="1"/>
        <rFont val="ＭＳ Ｐゴシック"/>
        <family val="3"/>
        <charset val="128"/>
        <scheme val="minor"/>
      </rPr>
      <t>香丰</t>
    </r>
  </si>
  <si>
    <r>
      <t>开胃酒; 米酒; 葡萄酒; 白干酒（中国白酒）;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</si>
  <si>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唐韵</t>
    </r>
    <r>
      <rPr>
        <sz val="11"/>
        <color theme="1"/>
        <rFont val="ＭＳ Ｐゴシック"/>
        <family val="3"/>
        <charset val="134"/>
        <scheme val="minor"/>
      </rPr>
      <t>龙跃宫</t>
    </r>
  </si>
  <si>
    <t>安阳阳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</si>
  <si>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白酒; 米酒;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</si>
  <si>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春相迎</t>
  </si>
  <si>
    <t>陈泽铸</t>
  </si>
  <si>
    <r>
      <t>白酒; 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</si>
  <si>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t>氿含香</t>
  </si>
  <si>
    <r>
      <t>鲍</t>
    </r>
    <r>
      <rPr>
        <sz val="11"/>
        <color theme="1"/>
        <rFont val="ＭＳ Ｐゴシック"/>
        <family val="3"/>
        <charset val="128"/>
        <scheme val="minor"/>
      </rPr>
      <t>洪昌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</si>
  <si>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</si>
  <si>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粮今朝</t>
  </si>
  <si>
    <t>唐国旗</t>
  </si>
  <si>
    <r>
      <t>威士忌; 清酒（日本米酒）; 白酒; 果酒（含酒精）;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</si>
  <si>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丁·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杜格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</si>
  <si>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总</t>
    </r>
    <r>
      <rPr>
        <sz val="11"/>
        <color theme="1"/>
        <rFont val="ＭＳ Ｐゴシック"/>
        <family val="3"/>
        <charset val="128"/>
        <scheme val="minor"/>
      </rPr>
      <t>府誉通投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</si>
  <si>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白葡萄酒;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</si>
  <si>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印王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</si>
  <si>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约</t>
    </r>
    <r>
      <rPr>
        <sz val="11"/>
        <color theme="1"/>
        <rFont val="ＭＳ Ｐゴシック"/>
        <family val="3"/>
        <charset val="128"/>
        <scheme val="minor"/>
      </rPr>
      <t>米网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</si>
  <si>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威士忌; 食用酒精; 黄酒</t>
    </r>
  </si>
  <si>
    <t>幻域河山</t>
  </si>
  <si>
    <r>
      <t>叁</t>
    </r>
    <r>
      <rPr>
        <sz val="11"/>
        <color theme="1"/>
        <rFont val="ＭＳ Ｐゴシック"/>
        <family val="3"/>
        <charset val="128"/>
        <scheme val="minor"/>
      </rPr>
      <t>成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(汾阳)酒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</si>
  <si>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露酒; 白酒; 甜酒;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甜果酒; 高粱酒</t>
    </r>
  </si>
  <si>
    <t>世屹</t>
  </si>
  <si>
    <r>
      <t>刘阿</t>
    </r>
    <r>
      <rPr>
        <sz val="11"/>
        <color theme="1"/>
        <rFont val="ＭＳ Ｐゴシック"/>
        <family val="3"/>
        <charset val="134"/>
        <scheme val="minor"/>
      </rPr>
      <t>义</t>
    </r>
  </si>
  <si>
    <r>
      <t xml:space="preserve">蒸煮提取物（利口酒和烈酒）;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利口酒; 白酒</t>
    </r>
  </si>
  <si>
    <r>
      <t>葡萄酒; 蝮蛇酒;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起泡白葡萄酒</t>
    </r>
  </si>
  <si>
    <r>
      <t>金礼</t>
    </r>
    <r>
      <rPr>
        <sz val="11"/>
        <color theme="1"/>
        <rFont val="ＭＳ Ｐゴシック"/>
        <family val="3"/>
        <charset val="134"/>
        <scheme val="minor"/>
      </rPr>
      <t>缤</t>
    </r>
    <r>
      <rPr>
        <sz val="11"/>
        <color theme="1"/>
        <rFont val="ＭＳ Ｐゴシック"/>
        <family val="3"/>
        <charset val="128"/>
        <scheme val="minor"/>
      </rPr>
      <t>牌礼</t>
    </r>
    <r>
      <rPr>
        <sz val="11"/>
        <color theme="1"/>
        <rFont val="ＭＳ Ｐゴシック"/>
        <family val="3"/>
        <charset val="134"/>
        <scheme val="minor"/>
      </rPr>
      <t>缤</t>
    </r>
    <r>
      <rPr>
        <sz val="11"/>
        <color theme="1"/>
        <rFont val="ＭＳ Ｐゴシック"/>
        <family val="3"/>
        <charset val="128"/>
        <scheme val="minor"/>
      </rPr>
      <t xml:space="preserve"> 金礼</t>
    </r>
    <r>
      <rPr>
        <sz val="11"/>
        <color theme="1"/>
        <rFont val="ＭＳ Ｐゴシック"/>
        <family val="3"/>
        <charset val="134"/>
        <scheme val="minor"/>
      </rPr>
      <t>缤</t>
    </r>
    <r>
      <rPr>
        <sz val="11"/>
        <color theme="1"/>
        <rFont val="ＭＳ Ｐゴシック"/>
        <family val="3"/>
        <charset val="128"/>
        <scheme val="minor"/>
      </rPr>
      <t>牌 礼</t>
    </r>
    <r>
      <rPr>
        <sz val="11"/>
        <color theme="1"/>
        <rFont val="ＭＳ Ｐゴシック"/>
        <family val="3"/>
        <charset val="134"/>
        <scheme val="minor"/>
      </rPr>
      <t>缤</t>
    </r>
    <r>
      <rPr>
        <sz val="11"/>
        <color theme="1"/>
        <rFont val="ＭＳ Ｐゴシック"/>
        <family val="3"/>
        <charset val="128"/>
        <scheme val="minor"/>
      </rPr>
      <t>牌礼</t>
    </r>
    <r>
      <rPr>
        <sz val="11"/>
        <color theme="1"/>
        <rFont val="ＭＳ Ｐゴシック"/>
        <family val="3"/>
        <charset val="134"/>
        <scheme val="minor"/>
      </rPr>
      <t>缤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</si>
  <si>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双喜集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</si>
  <si>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清酒; 葡萄酒; 果酒;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</si>
  <si>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康与</t>
    </r>
    <r>
      <rPr>
        <sz val="11"/>
        <color theme="1"/>
        <rFont val="ＭＳ Ｐゴシック"/>
        <family val="3"/>
        <charset val="134"/>
        <scheme val="minor"/>
      </rPr>
      <t>鲜</t>
    </r>
  </si>
  <si>
    <r>
      <t>杭州牛旭食品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</si>
  <si>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伏特加酒; 白酒; 青稞酒;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威士忌;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</si>
  <si>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杏舜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</si>
  <si>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昌王府酒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</si>
  <si>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果酒（含酒精）;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</si>
  <si>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枌</t>
    </r>
    <r>
      <rPr>
        <sz val="11"/>
        <color theme="1"/>
        <rFont val="ＭＳ Ｐゴシック"/>
        <family val="3"/>
        <charset val="129"/>
        <scheme val="minor"/>
      </rPr>
      <t>榆</t>
    </r>
    <r>
      <rPr>
        <sz val="11"/>
        <color theme="1"/>
        <rFont val="ＭＳ Ｐゴシック"/>
        <family val="3"/>
        <charset val="128"/>
        <scheme val="minor"/>
      </rPr>
      <t>台</t>
    </r>
  </si>
  <si>
    <t>何俊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</si>
  <si>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</si>
  <si>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草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珍</t>
    </r>
  </si>
  <si>
    <r>
      <t>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蝮蛇酒;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起泡白葡萄酒; 开胃酒; 葡萄酒; 果酒</t>
    </r>
  </si>
  <si>
    <r>
      <t>日月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奇</t>
    </r>
  </si>
  <si>
    <t>黄俊</t>
  </si>
  <si>
    <r>
      <t>米酒; 葡萄酒;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白酒; 黄酒; 食用酒精; 威士忌</t>
    </r>
  </si>
  <si>
    <r>
      <t>广州市正道臣服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</si>
  <si>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米酒; 黄酒; 苦味酒; 葡萄酒; 清酒（日本米酒）;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</si>
  <si>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陈记</t>
    </r>
    <r>
      <rPr>
        <sz val="11"/>
        <color theme="1"/>
        <rFont val="ＭＳ Ｐゴシック"/>
        <family val="3"/>
        <charset val="128"/>
        <scheme val="minor"/>
      </rPr>
      <t>御丰园</t>
    </r>
  </si>
  <si>
    <r>
      <t>富平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御园生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</si>
  <si>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米酒; 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甜果酒; 汽酒</t>
    </r>
  </si>
  <si>
    <t>古特新生</t>
  </si>
  <si>
    <r>
      <t>周</t>
    </r>
    <r>
      <rPr>
        <sz val="11"/>
        <color theme="1"/>
        <rFont val="ＭＳ Ｐゴシック"/>
        <family val="3"/>
        <charset val="134"/>
        <scheme val="minor"/>
      </rPr>
      <t>灿</t>
    </r>
    <r>
      <rPr>
        <sz val="11"/>
        <color theme="1"/>
        <rFont val="ＭＳ Ｐゴシック"/>
        <family val="3"/>
        <charset val="128"/>
        <scheme val="minor"/>
      </rPr>
      <t>亮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</si>
  <si>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苹果酒; 米酒;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</si>
  <si>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XENSOULEATS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</si>
  <si>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熙享餐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</si>
  <si>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伏特加酒; 威士忌; 果酒（含酒精）; 食用酒精;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</si>
  <si>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尊台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</si>
  <si>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永峰</t>
    </r>
  </si>
  <si>
    <r>
      <t>利口酒; 白酒; 米酒;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黄酒</t>
    </r>
  </si>
  <si>
    <r>
      <t>南京美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</si>
  <si>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蜂蜜酒; 高粱酒;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</si>
  <si>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马镇</t>
    </r>
    <r>
      <rPr>
        <sz val="11"/>
        <color theme="1"/>
        <rFont val="ＭＳ Ｐゴシック"/>
        <family val="3"/>
        <charset val="128"/>
        <scheme val="minor"/>
      </rPr>
      <t>七彩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</si>
  <si>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</si>
  <si>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HANS REINKE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</si>
  <si>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伯曼国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</si>
  <si>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白酒;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</si>
  <si>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飞马</t>
    </r>
    <r>
      <rPr>
        <sz val="11"/>
        <color theme="1"/>
        <rFont val="ＭＳ Ｐゴシック"/>
        <family val="3"/>
        <charset val="128"/>
        <scheme val="minor"/>
      </rPr>
      <t>王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</si>
  <si>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苹果酒;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威士忌</t>
    </r>
  </si>
  <si>
    <r>
      <t>陇</t>
    </r>
    <r>
      <rPr>
        <sz val="11"/>
        <color theme="1"/>
        <rFont val="ＭＳ Ｐゴシック"/>
        <family val="3"/>
        <charset val="128"/>
        <scheme val="minor"/>
      </rPr>
      <t>尚</t>
    </r>
    <r>
      <rPr>
        <sz val="11"/>
        <color theme="1"/>
        <rFont val="ＭＳ Ｐゴシック"/>
        <family val="3"/>
        <charset val="134"/>
        <scheme val="minor"/>
      </rPr>
      <t>塬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</si>
  <si>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肃陇塬电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</si>
  <si>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蜂蜜酒;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青稞酒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</si>
  <si>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让</t>
    </r>
  </si>
  <si>
    <r>
      <t>觉啬</t>
    </r>
    <r>
      <rPr>
        <sz val="11"/>
        <color theme="1"/>
        <rFont val="ＭＳ Ｐゴシック"/>
        <family val="3"/>
        <charset val="128"/>
        <scheme val="minor"/>
      </rPr>
      <t>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）教育科技有限公司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</si>
  <si>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白酒; 葡萄酒; 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</si>
  <si>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蜂蜜酒;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</si>
  <si>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鹿儿宋庄</t>
  </si>
  <si>
    <r>
      <t>宋</t>
    </r>
    <r>
      <rPr>
        <sz val="11"/>
        <color theme="1"/>
        <rFont val="ＭＳ Ｐゴシック"/>
        <family val="3"/>
        <charset val="134"/>
        <scheme val="minor"/>
      </rPr>
      <t>显东</t>
    </r>
  </si>
  <si>
    <r>
      <t>高粱酒;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烈酒; 白酒; 黄酒</t>
    </r>
  </si>
  <si>
    <t>仁宋</t>
  </si>
  <si>
    <t>王磊</t>
  </si>
  <si>
    <r>
      <t>葡萄酒; 威士忌; 黄酒;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青稞酒; 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</si>
  <si>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陟源</t>
    </r>
  </si>
  <si>
    <r>
      <t>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</si>
  <si>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竔</t>
    </r>
    <r>
      <rPr>
        <sz val="11"/>
        <color theme="1"/>
        <rFont val="ＭＳ Ｐゴシック"/>
        <family val="3"/>
        <charset val="128"/>
        <scheme val="minor"/>
      </rPr>
      <t>韵</t>
    </r>
  </si>
  <si>
    <r>
      <t>广州市致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</si>
  <si>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</si>
  <si>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嘉壹斛</t>
  </si>
  <si>
    <r>
      <t>广州神芝草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</si>
  <si>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利口酒; 白酒; 烈酒; 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果酒; 清酒</t>
    </r>
  </si>
  <si>
    <r>
      <t>孤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埸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</si>
  <si>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黄河家酒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</si>
  <si>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</si>
  <si>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茯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</si>
  <si>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 xml:space="preserve">开胃酒; 起泡白葡萄酒;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蝮蛇酒; 葡萄酒</t>
    </r>
  </si>
  <si>
    <t>雅城窖酒</t>
  </si>
  <si>
    <r>
      <t>洪雅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高</t>
    </r>
    <r>
      <rPr>
        <sz val="11"/>
        <color theme="1"/>
        <rFont val="ＭＳ Ｐゴシック"/>
        <family val="3"/>
        <charset val="134"/>
        <scheme val="minor"/>
      </rPr>
      <t>庙镇</t>
    </r>
    <r>
      <rPr>
        <sz val="11"/>
        <color theme="1"/>
        <rFont val="ＭＳ Ｐゴシック"/>
        <family val="3"/>
        <charset val="128"/>
        <scheme val="minor"/>
      </rPr>
      <t>洪源酒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</si>
  <si>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黄酒; 白酒; 葡萄酒; 开胃酒; 利口酒</t>
    </r>
  </si>
  <si>
    <t>HUIPAIGAOLIANG</t>
  </si>
  <si>
    <r>
      <t>安徽石板酒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</si>
  <si>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高粱酒</t>
  </si>
  <si>
    <t>多采娃</t>
  </si>
  <si>
    <r>
      <t>多彩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</si>
  <si>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黄酒; 葡萄酒;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</si>
  <si>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t>鳯摆</t>
  </si>
  <si>
    <r>
      <t>云南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</si>
  <si>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白酒; 开胃酒; 高粱酒; 米酒; 清酒;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</t>
    </r>
  </si>
  <si>
    <r>
      <t>南湾海</t>
    </r>
    <r>
      <rPr>
        <sz val="11"/>
        <color theme="1"/>
        <rFont val="ＭＳ Ｐゴシック"/>
        <family val="3"/>
        <charset val="134"/>
        <scheme val="minor"/>
      </rPr>
      <t>润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</si>
  <si>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小精</t>
    </r>
  </si>
  <si>
    <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</si>
  <si>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旯</t>
    </r>
    <r>
      <rPr>
        <sz val="11"/>
        <color theme="1"/>
        <rFont val="ＭＳ Ｐゴシック"/>
        <family val="3"/>
        <charset val="128"/>
        <scheme val="minor"/>
      </rPr>
      <t>熹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</si>
  <si>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州雅匠酒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</si>
  <si>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</si>
  <si>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玉友淳</t>
  </si>
  <si>
    <r>
      <t>张</t>
    </r>
    <r>
      <rPr>
        <sz val="11"/>
        <color theme="1"/>
        <rFont val="ＭＳ Ｐゴシック"/>
        <family val="3"/>
        <charset val="128"/>
        <scheme val="minor"/>
      </rPr>
      <t>娟</t>
    </r>
  </si>
  <si>
    <r>
      <t xml:space="preserve">葡萄酒;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</si>
  <si>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荀韵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</si>
  <si>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州荀韵酒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</si>
  <si>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青稞酒;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</si>
  <si>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云醉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</si>
  <si>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惠州市鼎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拆除工程有限公司</t>
    </r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</si>
  <si>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白干酒（中国白酒）</t>
    </r>
  </si>
  <si>
    <r>
      <t>九聚</t>
    </r>
    <r>
      <rPr>
        <sz val="11"/>
        <color theme="1"/>
        <rFont val="ＭＳ Ｐゴシック"/>
        <family val="3"/>
        <charset val="134"/>
        <scheme val="minor"/>
      </rPr>
      <t>贤</t>
    </r>
  </si>
  <si>
    <t>曹子航</t>
  </si>
  <si>
    <r>
      <t xml:space="preserve">露酒; 白酒; 蜂蜜酒;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</si>
  <si>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满</t>
    </r>
    <r>
      <rPr>
        <sz val="11"/>
        <color theme="1"/>
        <rFont val="ＭＳ Ｐゴシック"/>
        <family val="3"/>
        <charset val="128"/>
        <scheme val="minor"/>
      </rPr>
      <t>川澧</t>
    </r>
  </si>
  <si>
    <r>
      <t>四川蜀成商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</si>
  <si>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果酒; 烈酒; 甜酒; 葡萄酒; 米酒; 开胃酒;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</si>
  <si>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t>天班</t>
  </si>
  <si>
    <r>
      <t>天班工程管理集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</si>
  <si>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高粱酒; 食用酒精; 米酒; 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</t>
    </r>
  </si>
  <si>
    <t>寨泉</t>
  </si>
  <si>
    <t>田路姐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</si>
  <si>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米酒; 果酒（含酒精）; 青稞酒; 葡萄酒</t>
    </r>
  </si>
  <si>
    <t>子芽河</t>
  </si>
  <si>
    <r>
      <t>沧</t>
    </r>
    <r>
      <rPr>
        <sz val="11"/>
        <color theme="1"/>
        <rFont val="ＭＳ Ｐゴシック"/>
        <family val="3"/>
        <charset val="128"/>
        <scheme val="minor"/>
      </rPr>
      <t>州子芽河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</si>
  <si>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葡萄酒; 米酒</t>
    </r>
  </si>
  <si>
    <t>洮州洪和宴</t>
  </si>
  <si>
    <r>
      <t>临</t>
    </r>
    <r>
      <rPr>
        <sz val="11"/>
        <color theme="1"/>
        <rFont val="ＭＳ Ｐゴシック"/>
        <family val="3"/>
        <charset val="128"/>
        <scheme val="minor"/>
      </rPr>
      <t>潭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源博酒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</si>
  <si>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高粱酒;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果酒（含酒精）; 青稞酒;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</si>
  <si>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格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蒙特利</t>
    </r>
  </si>
  <si>
    <r>
      <t>烟台国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葡萄酒有限公司</t>
    </r>
  </si>
  <si>
    <r>
      <t xml:space="preserve">伏特加酒; 威士忌; 朗姆酒;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蒸煮提取物（利口酒和烈酒）; 黄酒; 白酒; 葡萄酒</t>
    </r>
  </si>
  <si>
    <t>壹启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</si>
  <si>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市友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</si>
  <si>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杜松子酒;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果酒（含酒精）; 葡萄酒</t>
    </r>
  </si>
  <si>
    <t>天医星</t>
  </si>
  <si>
    <r>
      <t xml:space="preserve">米酒; 白酒;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</si>
  <si>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欧德瑞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</si>
  <si>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</si>
  <si>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班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鹿</t>
    </r>
  </si>
  <si>
    <t>彭倩</t>
  </si>
  <si>
    <r>
      <t xml:space="preserve">黄酒; 威士忌;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蜂蜜酒</t>
    </r>
  </si>
  <si>
    <t>伍榖丰伍丰坊</t>
  </si>
  <si>
    <r>
      <t>杨赛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</si>
  <si>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</si>
  <si>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丑萌力士</t>
  </si>
  <si>
    <r>
      <t>张</t>
    </r>
    <r>
      <rPr>
        <sz val="11"/>
        <color theme="1"/>
        <rFont val="ＭＳ Ｐゴシック"/>
        <family val="3"/>
        <charset val="128"/>
        <scheme val="minor"/>
      </rPr>
      <t>沛祥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</si>
  <si>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含酒精的气泡水; 白酒;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</si>
  <si>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鹿依漉</t>
  </si>
  <si>
    <t>卢齐飞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</si>
  <si>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</si>
  <si>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伊村山野</t>
  </si>
  <si>
    <r>
      <t>伊春市山野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</si>
  <si>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刺五加酒; 汽酒; 蜂蜜酒;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</si>
  <si>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筑茗坊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</si>
  <si>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元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</si>
  <si>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开胃酒;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蜂蜜酒; 薄荷酒</t>
    </r>
  </si>
  <si>
    <t>浙礼洋埠</t>
  </si>
  <si>
    <r>
      <t>金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市洋埠有米旅游开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</si>
  <si>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清酒（日本米酒）; 烈酒;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</si>
  <si>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港</t>
    </r>
    <r>
      <rPr>
        <sz val="11"/>
        <color theme="1"/>
        <rFont val="ＭＳ Ｐゴシック"/>
        <family val="3"/>
        <charset val="134"/>
        <scheme val="minor"/>
      </rPr>
      <t>连兰</t>
    </r>
    <r>
      <rPr>
        <sz val="11"/>
        <color theme="1"/>
        <rFont val="ＭＳ Ｐゴシック"/>
        <family val="3"/>
        <charset val="128"/>
        <scheme val="minor"/>
      </rPr>
      <t>欧</t>
    </r>
  </si>
  <si>
    <r>
      <t>海洲桃花</t>
    </r>
    <r>
      <rPr>
        <sz val="11"/>
        <color theme="1"/>
        <rFont val="ＭＳ Ｐゴシック"/>
        <family val="3"/>
        <charset val="134"/>
        <scheme val="minor"/>
      </rPr>
      <t>涧贸</t>
    </r>
    <r>
      <rPr>
        <sz val="11"/>
        <color theme="1"/>
        <rFont val="ＭＳ Ｐゴシック"/>
        <family val="3"/>
        <charset val="128"/>
        <scheme val="minor"/>
      </rPr>
      <t>易（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云港）有限公司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</si>
  <si>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米酒</t>
    </r>
  </si>
  <si>
    <r>
      <t>缜</t>
    </r>
    <r>
      <rPr>
        <sz val="11"/>
        <color theme="1"/>
        <rFont val="ＭＳ Ｐゴシック"/>
        <family val="3"/>
        <charset val="128"/>
        <scheme val="minor"/>
      </rPr>
      <t>口粮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</si>
  <si>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白酒;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果酒（含酒精）</t>
    </r>
  </si>
  <si>
    <t>陶小陶</t>
  </si>
  <si>
    <r>
      <t>陶荣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</si>
  <si>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烈酒; 葡萄酒; 米酒; 果酒;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</si>
  <si>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九畹九</t>
  </si>
  <si>
    <r>
      <t>成都九碗九酒庄酒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</si>
  <si>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梨酒; 果酒（含酒精）; 高粱酒; 食用酒精; 青稞酒;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</si>
  <si>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春福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</si>
  <si>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蜂蜜酒;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酸酒（低等葡萄酒）; 青稞酒</t>
    </r>
  </si>
  <si>
    <r>
      <t>威士忌;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</si>
  <si>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屿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间</t>
    </r>
  </si>
  <si>
    <r>
      <t>浙江山</t>
    </r>
    <r>
      <rPr>
        <sz val="11"/>
        <color theme="1"/>
        <rFont val="ＭＳ Ｐゴシック"/>
        <family val="3"/>
        <charset val="134"/>
        <scheme val="minor"/>
      </rPr>
      <t>屿</t>
    </r>
    <r>
      <rPr>
        <sz val="11"/>
        <color theme="1"/>
        <rFont val="ＭＳ Ｐゴシック"/>
        <family val="3"/>
        <charset val="128"/>
        <scheme val="minor"/>
      </rPr>
      <t>海旅游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展股份有限公司</t>
    </r>
  </si>
  <si>
    <r>
      <t>果酒（含酒精）; 开胃酒;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</si>
  <si>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来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来</t>
    </r>
  </si>
  <si>
    <r>
      <t>海南来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来品牌运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</si>
  <si>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米酒; 果酒（含酒精）;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白酒; 葡萄酒</t>
    </r>
  </si>
  <si>
    <t>地九九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</si>
  <si>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玩商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</si>
  <si>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</si>
  <si>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伯弦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</si>
  <si>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水供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</si>
  <si>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含酒精的气泡水; 黄酒; 果酒（含酒精）; 米酒; 威士忌; 白酒</t>
    </r>
  </si>
  <si>
    <t>千和生</t>
  </si>
  <si>
    <r>
      <t>湖州市云品知商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</si>
  <si>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黄酒; 白酒; 果酒; 佐餐酒; 米酒</t>
    </r>
  </si>
  <si>
    <t>金坨坨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</si>
  <si>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黄酒; 佐餐酒;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</si>
  <si>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拙良造</t>
  </si>
  <si>
    <r>
      <t>杭州余杭区</t>
    </r>
    <r>
      <rPr>
        <sz val="11"/>
        <color theme="1"/>
        <rFont val="ＭＳ Ｐゴシック"/>
        <family val="3"/>
        <charset val="134"/>
        <scheme val="minor"/>
      </rPr>
      <t>鸬鸟镇</t>
    </r>
    <r>
      <rPr>
        <sz val="11"/>
        <color theme="1"/>
        <rFont val="ＭＳ Ｐゴシック"/>
        <family val="3"/>
        <charset val="128"/>
        <scheme val="minor"/>
      </rPr>
      <t>野</t>
    </r>
    <r>
      <rPr>
        <sz val="11"/>
        <color theme="1"/>
        <rFont val="ＭＳ Ｐゴシック"/>
        <family val="3"/>
        <charset val="134"/>
        <scheme val="minor"/>
      </rPr>
      <t>酿酿</t>
    </r>
    <r>
      <rPr>
        <sz val="11"/>
        <color theme="1"/>
        <rFont val="ＭＳ Ｐゴシック"/>
        <family val="3"/>
        <charset val="128"/>
        <scheme val="minor"/>
      </rPr>
      <t>酒坊（个体工商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</si>
  <si>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苹果酒; 梨酒; 黄酒; 清酒; 餐后酒（利口酒和烈酒）</t>
    </r>
  </si>
  <si>
    <t>RENTO MATINA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</si>
  <si>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威士忌; 苹果酒; 伏特加酒; 茴香酒（利口酒）; 利口酒; 葡萄酒; 茴芹酒（利口酒）;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</si>
  <si>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銮</t>
    </r>
    <r>
      <rPr>
        <sz val="11"/>
        <color theme="1"/>
        <rFont val="ＭＳ Ｐゴシック"/>
        <family val="3"/>
        <charset val="128"/>
        <scheme val="minor"/>
      </rPr>
      <t>客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</si>
  <si>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东伟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</si>
  <si>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青稞酒; 米酒;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露酒; 白酒</t>
    </r>
  </si>
  <si>
    <r>
      <t>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贡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</si>
  <si>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州旭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坊酒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</si>
  <si>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</t>
    </r>
  </si>
  <si>
    <r>
      <t>怀</t>
    </r>
    <r>
      <rPr>
        <sz val="11"/>
        <color theme="1"/>
        <rFont val="ＭＳ Ｐゴシック"/>
        <family val="3"/>
        <charset val="134"/>
        <scheme val="minor"/>
      </rPr>
      <t>翘</t>
    </r>
  </si>
  <si>
    <r>
      <t>修武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融禾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</si>
  <si>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</si>
  <si>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相元（上海）国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</si>
  <si>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伏特加酒;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苦味酒; 开胃酒; 白酒</t>
    </r>
  </si>
  <si>
    <r>
      <t>柠</t>
    </r>
    <r>
      <rPr>
        <sz val="11"/>
        <color theme="1"/>
        <rFont val="ＭＳ Ｐゴシック"/>
        <family val="3"/>
        <charset val="128"/>
        <scheme val="minor"/>
      </rPr>
      <t>立方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</si>
  <si>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高明</t>
    </r>
  </si>
  <si>
    <r>
      <t>薄荷酒; 果酒（含酒精）; 利口酒;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</t>
    </r>
  </si>
  <si>
    <r>
      <t>雪</t>
    </r>
    <r>
      <rPr>
        <sz val="11"/>
        <color theme="1"/>
        <rFont val="ＭＳ Ｐゴシック"/>
        <family val="3"/>
        <charset val="129"/>
        <scheme val="minor"/>
      </rPr>
      <t>强</t>
    </r>
    <r>
      <rPr>
        <sz val="11"/>
        <color theme="1"/>
        <rFont val="ＭＳ Ｐゴシック"/>
        <family val="3"/>
        <charset val="128"/>
        <scheme val="minor"/>
      </rPr>
      <t>匠</t>
    </r>
    <r>
      <rPr>
        <sz val="11"/>
        <color theme="1"/>
        <rFont val="ＭＳ Ｐゴシック"/>
        <family val="3"/>
        <charset val="134"/>
        <scheme val="minor"/>
      </rPr>
      <t>艺</t>
    </r>
  </si>
  <si>
    <t>司建兵</t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</si>
  <si>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清酒; 威士忌; 混合威士忌酒;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</si>
  <si>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洪芝</t>
  </si>
  <si>
    <r>
      <t>吉林市洪岸酒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</si>
  <si>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蜂蜜酒; 威士忌</t>
    </r>
  </si>
  <si>
    <t>呈祥年</t>
  </si>
  <si>
    <r>
      <t>王元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</si>
  <si>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清酒（日本米酒）; 米酒</t>
    </r>
  </si>
  <si>
    <r>
      <t>义满</t>
    </r>
    <r>
      <rPr>
        <sz val="11"/>
        <color theme="1"/>
        <rFont val="ＭＳ Ｐゴシック"/>
        <family val="3"/>
        <charset val="128"/>
        <scheme val="minor"/>
      </rPr>
      <t>江山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</si>
  <si>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清酒（日本米酒）; 米酒; 烈酒; 白干酒（中国白酒）;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</si>
  <si>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仙醉</t>
    </r>
  </si>
  <si>
    <r>
      <t>湖南岳阳楼酒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</si>
  <si>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</si>
  <si>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王黔</t>
    </r>
    <r>
      <rPr>
        <sz val="11"/>
        <color theme="1"/>
        <rFont val="ＭＳ Ｐゴシック"/>
        <family val="3"/>
        <charset val="134"/>
        <scheme val="minor"/>
      </rPr>
      <t>叁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</si>
  <si>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</si>
  <si>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晸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堂花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</si>
  <si>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>河南麦容商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</si>
  <si>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蜂蜜酒;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白酒; 果酒;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</si>
  <si>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r>
      <t>槡</t>
    </r>
    <r>
      <rPr>
        <sz val="11"/>
        <color theme="1"/>
        <rFont val="ＭＳ Ｐゴシック"/>
        <family val="3"/>
        <charset val="129"/>
        <scheme val="minor"/>
      </rPr>
      <t>礅</t>
    </r>
    <r>
      <rPr>
        <sz val="11"/>
        <color theme="1"/>
        <rFont val="ＭＳ Ｐゴシック"/>
        <family val="3"/>
        <charset val="134"/>
        <scheme val="minor"/>
      </rPr>
      <t>坝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</si>
  <si>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白酒;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</si>
  <si>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白肢云牛</t>
  </si>
  <si>
    <r>
      <t>云南云寅生物集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</si>
  <si>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</si>
  <si>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莫昭盛世</t>
  </si>
  <si>
    <r>
      <t>西安市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湖区兮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部(个体工商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</si>
  <si>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葡萄酒; 蒸煮提取物（利口酒和烈酒）;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</si>
  <si>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蜀之森藏酒露</t>
  </si>
  <si>
    <r>
      <t>林</t>
    </r>
    <r>
      <rPr>
        <sz val="11"/>
        <color theme="1"/>
        <rFont val="ＭＳ Ｐゴシック"/>
        <family val="3"/>
        <charset val="134"/>
        <scheme val="minor"/>
      </rPr>
      <t>鹏飞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</si>
  <si>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</si>
  <si>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正道青云</t>
  </si>
  <si>
    <r>
      <t>罗</t>
    </r>
    <r>
      <rPr>
        <sz val="11"/>
        <color theme="1"/>
        <rFont val="ＭＳ Ｐゴシック"/>
        <family val="3"/>
        <charset val="128"/>
        <scheme val="minor"/>
      </rPr>
      <t>丰林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</si>
  <si>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利口酒; 米酒; 黄酒;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</si>
  <si>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洲海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</t>
    </r>
  </si>
  <si>
    <r>
      <t>菏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新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力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</si>
  <si>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苹果酒; 利口酒; 葡萄酒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</si>
  <si>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汽酒;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黄酒; 甜酒</t>
    </r>
  </si>
  <si>
    <r>
      <t>京都旺</t>
    </r>
    <r>
      <rPr>
        <sz val="11"/>
        <color theme="1"/>
        <rFont val="ＭＳ Ｐゴシック"/>
        <family val="3"/>
        <charset val="134"/>
        <scheme val="minor"/>
      </rPr>
      <t>财</t>
    </r>
  </si>
  <si>
    <r>
      <t>廊坊旺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</si>
  <si>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果酒; 白酒;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茴芹酒（利口酒）</t>
    </r>
  </si>
  <si>
    <r>
      <t>誉遵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</si>
  <si>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州益源酒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</si>
  <si>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</si>
  <si>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裕年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</si>
  <si>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四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</si>
  <si>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果酒（含酒精）; 黄酒; 葡萄酒;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清酒（日本米酒）;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</si>
  <si>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男儿天</t>
  </si>
  <si>
    <r>
      <t>赵</t>
    </r>
    <r>
      <rPr>
        <sz val="11"/>
        <color theme="1"/>
        <rFont val="ＭＳ Ｐゴシック"/>
        <family val="3"/>
        <charset val="128"/>
        <scheme val="minor"/>
      </rPr>
      <t>婉霞******************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</si>
  <si>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高粱酒; 白酒;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</si>
  <si>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r>
      <t>儿</t>
    </r>
    <r>
      <rPr>
        <sz val="11"/>
        <color theme="1"/>
        <rFont val="ＭＳ Ｐゴシック"/>
        <family val="3"/>
        <charset val="134"/>
        <scheme val="minor"/>
      </rPr>
      <t>时妈妈</t>
    </r>
  </si>
  <si>
    <r>
      <t>成都歌德启航教育咨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</si>
  <si>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白酒; 开胃酒*;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</si>
  <si>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r>
      <t>蜂蜜酒;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葡萄酒; 白酒</t>
    </r>
  </si>
  <si>
    <t>猪介介</t>
  </si>
  <si>
    <r>
      <t>广州市八介品牌运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</si>
  <si>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</si>
  <si>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高粱酒;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</t>
    </r>
  </si>
  <si>
    <t>湍湖</t>
  </si>
  <si>
    <t>唐定容</t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</si>
  <si>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清酒（日本米酒）; 开胃酒;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威士忌; 白酒</t>
    </r>
  </si>
  <si>
    <t>洪境成</t>
  </si>
  <si>
    <r>
      <t>洪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傅（深圳）脊柱健康管理有限公司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</si>
  <si>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</t>
    </r>
  </si>
  <si>
    <t>匠香隆</t>
  </si>
  <si>
    <r>
      <t>杨</t>
    </r>
    <r>
      <rPr>
        <sz val="11"/>
        <color theme="1"/>
        <rFont val="ＭＳ Ｐゴシック"/>
        <family val="3"/>
        <charset val="128"/>
        <scheme val="minor"/>
      </rPr>
      <t>永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</si>
  <si>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开胃酒; 清酒（日本米酒）; 威士忌; 果酒（含酒精）;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</si>
  <si>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商</t>
    </r>
  </si>
  <si>
    <t>胡俊勇</t>
  </si>
  <si>
    <r>
      <t xml:space="preserve">黄酒; 开胃酒; 葡萄酒; 白干酒（中国白酒）;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</si>
  <si>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r>
      <t>项</t>
    </r>
    <r>
      <rPr>
        <sz val="11"/>
        <color theme="1"/>
        <rFont val="ＭＳ Ｐゴシック"/>
        <family val="3"/>
        <charset val="128"/>
        <scheme val="minor"/>
      </rPr>
      <t>江湖</t>
    </r>
  </si>
  <si>
    <t>李超</t>
  </si>
  <si>
    <r>
      <t>果酒（含酒精）;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</t>
    </r>
  </si>
  <si>
    <t>秋水嘉禾</t>
  </si>
  <si>
    <r>
      <t>湖南拾月嘉禾文化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</si>
  <si>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葡萄酒;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</si>
  <si>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衡昌名匠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</si>
  <si>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白干酒（中国白酒）; 青稞酒;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</si>
  <si>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喜如玉</t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</si>
  <si>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清酒（日本米酒）;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青稞酒</t>
    </r>
  </si>
  <si>
    <r>
      <t>慎匠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</si>
  <si>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苹果酒;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米酒; 食用酒精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</si>
  <si>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幸</t>
    </r>
  </si>
  <si>
    <r>
      <t>吴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</si>
  <si>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开胃酒;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</si>
  <si>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千生元</t>
  </si>
  <si>
    <r>
      <t>北京荣林</t>
    </r>
    <r>
      <rPr>
        <sz val="11"/>
        <color theme="1"/>
        <rFont val="ＭＳ Ｐゴシック"/>
        <family val="3"/>
        <charset val="134"/>
        <scheme val="minor"/>
      </rPr>
      <t>肽业</t>
    </r>
    <r>
      <rPr>
        <sz val="11"/>
        <color theme="1"/>
        <rFont val="ＭＳ Ｐゴシック"/>
        <family val="3"/>
        <charset val="128"/>
        <scheme val="minor"/>
      </rPr>
      <t>信息科技有限公司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</si>
  <si>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</si>
  <si>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明建昊君</t>
  </si>
  <si>
    <r>
      <t>佛山市豪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君酒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</si>
  <si>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葡萄酒; 清酒（日本米酒）;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米酒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</si>
  <si>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胤</t>
    </r>
    <r>
      <rPr>
        <sz val="11"/>
        <color theme="1"/>
        <rFont val="ＭＳ Ｐゴシック"/>
        <family val="3"/>
        <charset val="134"/>
        <scheme val="minor"/>
      </rPr>
      <t>记</t>
    </r>
  </si>
  <si>
    <t>闫鹏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</si>
  <si>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清酒; 汽酒;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威士忌; 米酒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</si>
  <si>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正乾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</si>
  <si>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</si>
  <si>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霹</t>
    </r>
    <r>
      <rPr>
        <sz val="11"/>
        <color theme="1"/>
        <rFont val="ＭＳ Ｐゴシック"/>
        <family val="3"/>
        <charset val="134"/>
        <scheme val="minor"/>
      </rPr>
      <t>雳狮</t>
    </r>
  </si>
  <si>
    <r>
      <t>单</t>
    </r>
    <r>
      <rPr>
        <sz val="11"/>
        <color theme="1"/>
        <rFont val="ＭＳ Ｐゴシック"/>
        <family val="3"/>
        <charset val="128"/>
        <scheme val="minor"/>
      </rPr>
      <t>家元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</si>
  <si>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黄酒</t>
    </r>
  </si>
  <si>
    <r>
      <t>陇</t>
    </r>
    <r>
      <rPr>
        <sz val="11"/>
        <color theme="1"/>
        <rFont val="ＭＳ Ｐゴシック"/>
        <family val="3"/>
        <charset val="128"/>
        <scheme val="minor"/>
      </rPr>
      <t>上潜仙醉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</si>
  <si>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永泰昌盛商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</si>
  <si>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高粱酒; 白酒; 葡萄酒;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</si>
  <si>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JHSG</t>
  </si>
  <si>
    <r>
      <t>云南聚海森谷康养服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</si>
  <si>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米酒</t>
    </r>
  </si>
  <si>
    <r>
      <t>北</t>
    </r>
    <r>
      <rPr>
        <sz val="11"/>
        <color theme="1"/>
        <rFont val="ＭＳ Ｐゴシック"/>
        <family val="3"/>
        <charset val="134"/>
        <scheme val="minor"/>
      </rPr>
      <t>贺</t>
    </r>
    <r>
      <rPr>
        <sz val="11"/>
        <color theme="1"/>
        <rFont val="ＭＳ Ｐゴシック"/>
        <family val="3"/>
        <charset val="128"/>
        <scheme val="minor"/>
      </rPr>
      <t>南</t>
    </r>
    <r>
      <rPr>
        <sz val="11"/>
        <color theme="1"/>
        <rFont val="ＭＳ Ｐゴシック"/>
        <family val="3"/>
        <charset val="134"/>
        <scheme val="minor"/>
      </rPr>
      <t>盘</t>
    </r>
  </si>
  <si>
    <r>
      <t>宁夏吉祥天商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</si>
  <si>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白葡萄酒; 烈酒; 甜酒;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</si>
  <si>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龙储</t>
    </r>
    <r>
      <rPr>
        <sz val="11"/>
        <color theme="1"/>
        <rFont val="ＭＳ Ｐゴシック"/>
        <family val="3"/>
        <charset val="128"/>
        <scheme val="minor"/>
      </rPr>
      <t>珍品</t>
    </r>
    <r>
      <rPr>
        <sz val="11"/>
        <color theme="1"/>
        <rFont val="ＭＳ Ｐゴシック"/>
        <family val="3"/>
        <charset val="134"/>
        <scheme val="minor"/>
      </rPr>
      <t>级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</si>
  <si>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基商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</si>
  <si>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</t>
    </r>
  </si>
  <si>
    <t>人九九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</si>
  <si>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蒸煮提取物（利口酒和烈酒）;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</si>
  <si>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穿岳</t>
  </si>
  <si>
    <r>
      <t>成都蜀之源酒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</si>
  <si>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蒸煮提取物（利口酒和烈酒）;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</si>
  <si>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岳</t>
    </r>
  </si>
  <si>
    <r>
      <t xml:space="preserve">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汽酒; 食用酒精;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</si>
  <si>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太阳伍榖丰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</si>
  <si>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</si>
  <si>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德冠</t>
    </r>
    <r>
      <rPr>
        <sz val="11"/>
        <color theme="1"/>
        <rFont val="ＭＳ Ｐゴシック"/>
        <family val="3"/>
        <charset val="134"/>
        <scheme val="minor"/>
      </rPr>
      <t>扬</t>
    </r>
  </si>
  <si>
    <r>
      <t>临</t>
    </r>
    <r>
      <rPr>
        <sz val="11"/>
        <color theme="1"/>
        <rFont val="ＭＳ Ｐゴシック"/>
        <family val="3"/>
        <charset val="128"/>
        <scheme val="minor"/>
      </rPr>
      <t>沭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德冠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</si>
  <si>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威士忌;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</si>
  <si>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蜀小仙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</si>
  <si>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清酒（日本米酒）;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</si>
  <si>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喜曜</t>
  </si>
  <si>
    <r>
      <t>威士忌;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</t>
    </r>
  </si>
  <si>
    <r>
      <t>维</t>
    </r>
    <r>
      <rPr>
        <sz val="11"/>
        <color theme="1"/>
        <rFont val="ＭＳ Ｐゴシック"/>
        <family val="3"/>
        <charset val="128"/>
        <scheme val="minor"/>
      </rPr>
      <t>格威</t>
    </r>
  </si>
  <si>
    <t>广州星新木科技有限公司</t>
  </si>
  <si>
    <r>
      <t>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青梅酒; 果酒;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</t>
    </r>
  </si>
  <si>
    <t>碧落潭</t>
  </si>
  <si>
    <r>
      <t>张</t>
    </r>
    <r>
      <rPr>
        <sz val="11"/>
        <color theme="1"/>
        <rFont val="ＭＳ Ｐゴシック"/>
        <family val="3"/>
        <charset val="128"/>
        <scheme val="minor"/>
      </rPr>
      <t>小云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</si>
  <si>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</si>
  <si>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蒲包山</t>
  </si>
  <si>
    <r>
      <t>冯</t>
    </r>
    <r>
      <rPr>
        <sz val="11"/>
        <color theme="1"/>
        <rFont val="ＭＳ Ｐゴシック"/>
        <family val="3"/>
        <charset val="128"/>
        <scheme val="minor"/>
      </rPr>
      <t>仁亮</t>
    </r>
  </si>
  <si>
    <r>
      <t>黄酒; 葡萄酒; 果酒（含酒精）; 清酒（日本米酒）;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</si>
  <si>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蜀香</t>
    </r>
    <r>
      <rPr>
        <sz val="11"/>
        <color theme="1"/>
        <rFont val="ＭＳ Ｐゴシック"/>
        <family val="3"/>
        <charset val="134"/>
        <scheme val="minor"/>
      </rPr>
      <t>酝</t>
    </r>
  </si>
  <si>
    <r>
      <t>刘仲</t>
    </r>
    <r>
      <rPr>
        <sz val="11"/>
        <color theme="1"/>
        <rFont val="ＭＳ Ｐゴシック"/>
        <family val="3"/>
        <charset val="134"/>
        <scheme val="minor"/>
      </rPr>
      <t>连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</si>
  <si>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汽酒; 混合威士忌酒;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白酒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</si>
  <si>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山孚春</t>
    </r>
  </si>
  <si>
    <t>侯登永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</si>
  <si>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威士忌; 果酒（含酒精）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</si>
  <si>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钦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</si>
  <si>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京致酒行集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</si>
  <si>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清酒;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</si>
  <si>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玛莲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</si>
  <si>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白酒; 葡萄酒; 开胃酒; 威士忌;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</si>
  <si>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如儿</t>
  </si>
  <si>
    <r>
      <t>朱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</si>
  <si>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葡萄酒; 果酒（含酒精）; 白酒; 黄酒; 伏特加酒; 米酒;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</t>
    </r>
  </si>
  <si>
    <t>HOTBABY</t>
  </si>
  <si>
    <t>朱叶</t>
  </si>
  <si>
    <r>
      <t>果酒（含酒精）; 开胃酒;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</si>
  <si>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白酒; 露酒; 蜂蜜酒;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</si>
  <si>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t>玻璃珠</t>
  </si>
  <si>
    <r>
      <t>薄荷酒;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</si>
  <si>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帝禧</t>
    </r>
    <r>
      <rPr>
        <sz val="11"/>
        <color theme="1"/>
        <rFont val="ＭＳ Ｐゴシック"/>
        <family val="3"/>
        <charset val="134"/>
        <scheme val="minor"/>
      </rPr>
      <t>狮</t>
    </r>
  </si>
  <si>
    <r>
      <t>果酒（含酒精）; 白酒;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</si>
  <si>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t>舵令</t>
  </si>
  <si>
    <r>
      <t>中海京西（青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</si>
  <si>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清酒;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</si>
  <si>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叹</t>
    </r>
    <r>
      <rPr>
        <sz val="11"/>
        <color theme="1"/>
        <rFont val="ＭＳ Ｐゴシック"/>
        <family val="3"/>
        <charset val="128"/>
        <scheme val="minor"/>
      </rPr>
      <t>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</si>
  <si>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摊</t>
    </r>
    <r>
      <rPr>
        <sz val="11"/>
        <color theme="1"/>
        <rFont val="ＭＳ Ｐゴシック"/>
        <family val="3"/>
        <charset val="128"/>
        <scheme val="minor"/>
      </rPr>
      <t>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</si>
  <si>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烈酒; 高粱酒; 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</si>
  <si>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无哀川</t>
  </si>
  <si>
    <t>李溪茜</t>
  </si>
  <si>
    <r>
      <t>清酒（日本米酒）;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</si>
  <si>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洁</t>
    </r>
    <r>
      <rPr>
        <sz val="11"/>
        <color theme="1"/>
        <rFont val="ＭＳ Ｐゴシック"/>
        <family val="3"/>
        <charset val="128"/>
        <scheme val="minor"/>
      </rPr>
      <t>柔天天</t>
    </r>
  </si>
  <si>
    <r>
      <t xml:space="preserve">蜂蜜酒; 开胃酒;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</si>
  <si>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舟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</si>
  <si>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</si>
  <si>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</si>
  <si>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程樽吟</t>
  </si>
  <si>
    <r>
      <t>石家庄林</t>
    </r>
    <r>
      <rPr>
        <sz val="11"/>
        <color theme="1"/>
        <rFont val="ＭＳ Ｐゴシック"/>
        <family val="3"/>
        <charset val="134"/>
        <scheme val="minor"/>
      </rPr>
      <t>飒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</si>
  <si>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蜂蜜酒; 威士忌; 葡萄酒</t>
    </r>
  </si>
  <si>
    <r>
      <t>颖</t>
    </r>
    <r>
      <rPr>
        <sz val="11"/>
        <color theme="1"/>
        <rFont val="ＭＳ Ｐゴシック"/>
        <family val="3"/>
        <charset val="128"/>
        <scheme val="minor"/>
      </rPr>
      <t>村</t>
    </r>
  </si>
  <si>
    <r>
      <t>烈酒; 白酒; 米酒; 高粱酒; 葡萄酒;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</si>
  <si>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古洞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</si>
  <si>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 xml:space="preserve">黄酒; 开胃酒;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</si>
  <si>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t>震雷</t>
  </si>
  <si>
    <r>
      <t>谭凯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</si>
  <si>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苦味酒; 清酒</t>
    </r>
  </si>
  <si>
    <r>
      <t>小元姑</t>
    </r>
    <r>
      <rPr>
        <sz val="11"/>
        <color theme="1"/>
        <rFont val="ＭＳ Ｐゴシック"/>
        <family val="3"/>
        <charset val="134"/>
        <scheme val="minor"/>
      </rPr>
      <t>酿</t>
    </r>
  </si>
  <si>
    <t>山西嘉苗两岐食品有限公司</t>
  </si>
  <si>
    <r>
      <t xml:space="preserve">清酒（日本米酒）; 米酒; 汽酒; 天然汽酒;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</t>
    </r>
  </si>
  <si>
    <t>疆九女神</t>
  </si>
  <si>
    <r>
      <t>疆九女神（厦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</si>
  <si>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白干酒（中国白酒）;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干型苹果酒; 混合威士忌酒; 果酒; 烈酒;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</si>
  <si>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 xml:space="preserve">米酒; 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青稞酒</t>
    </r>
  </si>
  <si>
    <t>智臻淘</t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</si>
  <si>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禾煦文化科技有限公司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</si>
  <si>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</si>
  <si>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尊台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樽</t>
    </r>
  </si>
  <si>
    <r>
      <t>高粱酒; 黄酒; 利口酒;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蒸煮提取物（利口酒和烈酒）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</si>
  <si>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果酒（含酒精）;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</si>
  <si>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t>玉友堂</t>
  </si>
  <si>
    <r>
      <t>黄酒;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</si>
  <si>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竹迎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</si>
  <si>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</si>
  <si>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利口酒; 清酒（日本米酒）;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葡萄酒;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</si>
  <si>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恬蜜森林</t>
  </si>
  <si>
    <r>
      <t>赵</t>
    </r>
    <r>
      <rPr>
        <sz val="11"/>
        <color theme="1"/>
        <rFont val="ＭＳ Ｐゴシック"/>
        <family val="3"/>
        <charset val="128"/>
        <scheme val="minor"/>
      </rPr>
      <t>杰</t>
    </r>
  </si>
  <si>
    <t>清酒; 甜酒; 白酒; 开胃酒; 黄酒; 汽酒; 米酒; 葡萄酒; 食用酒精; 果酒</t>
  </si>
  <si>
    <r>
      <t>伍榖丰磐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</si>
  <si>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米酒; 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</si>
  <si>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旯</t>
    </r>
    <r>
      <rPr>
        <sz val="11"/>
        <color theme="1"/>
        <rFont val="ＭＳ Ｐゴシック"/>
        <family val="3"/>
        <charset val="128"/>
        <scheme val="minor"/>
      </rPr>
      <t>味</t>
    </r>
  </si>
  <si>
    <r>
      <t>清酒;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白酒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</si>
  <si>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君益生物工程有限公司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</si>
  <si>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蒸煮提取物（利口酒和烈酒）;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</si>
  <si>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果酒; 白干酒（中国白酒）;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</si>
  <si>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暨</t>
    </r>
    <r>
      <rPr>
        <sz val="11"/>
        <color theme="1"/>
        <rFont val="ＭＳ Ｐゴシック"/>
        <family val="3"/>
        <charset val="128"/>
        <scheme val="minor"/>
      </rPr>
      <t>岳</t>
    </r>
  </si>
  <si>
    <r>
      <t>上海</t>
    </r>
    <r>
      <rPr>
        <sz val="11"/>
        <color theme="1"/>
        <rFont val="ＭＳ Ｐゴシック"/>
        <family val="3"/>
        <charset val="129"/>
        <scheme val="minor"/>
      </rPr>
      <t>暨</t>
    </r>
    <r>
      <rPr>
        <sz val="11"/>
        <color theme="1"/>
        <rFont val="ＭＳ Ｐゴシック"/>
        <family val="3"/>
        <charset val="128"/>
        <scheme val="minor"/>
      </rPr>
      <t>岳信息技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</si>
  <si>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开胃酒;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薄荷酒;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</si>
  <si>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龙坛</t>
    </r>
    <r>
      <rPr>
        <sz val="11"/>
        <color theme="1"/>
        <rFont val="ＭＳ Ｐゴシック"/>
        <family val="3"/>
        <charset val="128"/>
        <scheme val="minor"/>
      </rPr>
      <t>翁</t>
    </r>
  </si>
  <si>
    <t>郭坤霖</t>
  </si>
  <si>
    <r>
      <t xml:space="preserve">威士忌; 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</si>
  <si>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莫宣卿</t>
  </si>
  <si>
    <r>
      <t>杜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</si>
  <si>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 xml:space="preserve">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食用酒精</t>
    </r>
  </si>
  <si>
    <t>喜裕隆</t>
  </si>
  <si>
    <t>谢辉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</si>
  <si>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</t>
    </r>
  </si>
  <si>
    <r>
      <t>寻</t>
    </r>
    <r>
      <rPr>
        <sz val="11"/>
        <color theme="1"/>
        <rFont val="ＭＳ Ｐゴシック"/>
        <family val="3"/>
        <charset val="128"/>
        <scheme val="minor"/>
      </rPr>
      <t>侠客</t>
    </r>
  </si>
  <si>
    <r>
      <t>周国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</si>
  <si>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清酒（日本米酒）; 白酒; 葡萄酒; 威士忌;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</si>
  <si>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九州璞</t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</si>
  <si>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德堂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</si>
  <si>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汽酒; 葡萄酒; 威士忌; 餐后酒（利口酒和烈酒）;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</si>
  <si>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独一</t>
    </r>
    <r>
      <rPr>
        <sz val="11"/>
        <color theme="1"/>
        <rFont val="ＭＳ Ｐゴシック"/>
        <family val="3"/>
        <charset val="134"/>
        <scheme val="minor"/>
      </rPr>
      <t>张</t>
    </r>
  </si>
  <si>
    <r>
      <t>刘桂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</si>
  <si>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黄酒; 苹果酒; 葡萄酒; 食用酒精; 白酒</t>
    </r>
  </si>
  <si>
    <t>路易依狄琪</t>
  </si>
  <si>
    <r>
      <t>刘玉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</si>
  <si>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果酒（含酒精）; 威士忌; 杜松子酒;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</si>
  <si>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路易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荻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</si>
  <si>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 xml:space="preserve">葡萄酒; 威士忌;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杜松子酒; 朗姆酒;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</si>
  <si>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黔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客寨</t>
    </r>
  </si>
  <si>
    <r>
      <t>朱双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</si>
  <si>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蒸煮提取物（利口酒和烈酒）;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黄酒; 高粱酒</t>
    </r>
  </si>
  <si>
    <r>
      <t>豫事</t>
    </r>
    <r>
      <rPr>
        <sz val="11"/>
        <color theme="1"/>
        <rFont val="ＭＳ Ｐゴシック"/>
        <family val="3"/>
        <charset val="134"/>
        <scheme val="minor"/>
      </rPr>
      <t>兴</t>
    </r>
  </si>
  <si>
    <t>河南玖逗智能科技有限公司</t>
  </si>
  <si>
    <r>
      <t>白酒; 果酒（含酒精）; 清酒（日本米酒）; 餐后酒（利口酒和烈酒）;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</si>
  <si>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西域群英会</t>
  </si>
  <si>
    <r>
      <t>周帮</t>
    </r>
    <r>
      <rPr>
        <sz val="11"/>
        <color theme="1"/>
        <rFont val="ＭＳ Ｐゴシック"/>
        <family val="3"/>
        <charset val="134"/>
        <scheme val="minor"/>
      </rPr>
      <t>帅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</si>
  <si>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白干酒（中国白酒）; 葡萄酒; 果酒; 伏特加酒;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</si>
  <si>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亿</t>
    </r>
    <r>
      <rPr>
        <sz val="11"/>
        <color theme="1"/>
        <rFont val="ＭＳ Ｐゴシック"/>
        <family val="3"/>
        <charset val="128"/>
        <scheme val="minor"/>
      </rPr>
      <t>万野</t>
    </r>
  </si>
  <si>
    <t>万野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</si>
  <si>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烈酒; 果酒</t>
    </r>
  </si>
  <si>
    <r>
      <t>竹</t>
    </r>
    <r>
      <rPr>
        <sz val="11"/>
        <color theme="1"/>
        <rFont val="ＭＳ Ｐゴシック"/>
        <family val="3"/>
        <charset val="134"/>
        <scheme val="minor"/>
      </rPr>
      <t>临门</t>
    </r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</si>
  <si>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清酒（日本米酒）;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米酒; 青稞酒</t>
    </r>
  </si>
  <si>
    <t>尊台乾隆御</t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</si>
  <si>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果酒（含酒精）; 米酒; 蒸煮提取物（利口酒和烈酒）;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白酒</t>
    </r>
  </si>
  <si>
    <t>礼礼佳</t>
  </si>
  <si>
    <r>
      <t>成都禾三商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</si>
  <si>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白酒; 高粱酒; 开胃酒; 甜酒; 葡萄酒; 米酒; 汽酒; 清酒</t>
    </r>
  </si>
  <si>
    <r>
      <t>赤氿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</si>
  <si>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韵古酒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</si>
  <si>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果酒（含酒精）; 米酒; 伏特加酒;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</si>
  <si>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朝海居</t>
  </si>
  <si>
    <r>
      <t>海南投促</t>
    </r>
    <r>
      <rPr>
        <sz val="11"/>
        <color theme="1"/>
        <rFont val="ＭＳ Ｐゴシック"/>
        <family val="3"/>
        <charset val="134"/>
        <scheme val="minor"/>
      </rPr>
      <t>创业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</si>
  <si>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蜂蜜酒;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白葡萄酒;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</t>
    </r>
  </si>
  <si>
    <r>
      <t>闻</t>
    </r>
    <r>
      <rPr>
        <sz val="11"/>
        <color theme="1"/>
        <rFont val="ＭＳ Ｐゴシック"/>
        <family val="3"/>
        <charset val="128"/>
        <scheme val="minor"/>
      </rPr>
      <t>九天福酒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</si>
  <si>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闻</t>
    </r>
    <r>
      <rPr>
        <sz val="11"/>
        <color theme="1"/>
        <rFont val="ＭＳ Ｐゴシック"/>
        <family val="3"/>
        <charset val="128"/>
        <scheme val="minor"/>
      </rPr>
      <t>九天控股有限公司</t>
    </r>
  </si>
  <si>
    <r>
      <t>威士忌; 米酒; 清酒; 白酒;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果酒; 露酒</t>
    </r>
  </si>
  <si>
    <t>鼎鼎元康</t>
  </si>
  <si>
    <r>
      <t>袁小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</si>
  <si>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白酒</t>
    </r>
  </si>
  <si>
    <r>
      <t>蔺</t>
    </r>
    <r>
      <rPr>
        <sz val="11"/>
        <color theme="1"/>
        <rFont val="ＭＳ Ｐゴシック"/>
        <family val="3"/>
        <charset val="128"/>
        <scheme val="minor"/>
      </rPr>
      <t>州盛</t>
    </r>
    <r>
      <rPr>
        <sz val="11"/>
        <color theme="1"/>
        <rFont val="ＭＳ Ｐゴシック"/>
        <family val="3"/>
        <charset val="134"/>
        <scheme val="minor"/>
      </rPr>
      <t>龙谭</t>
    </r>
  </si>
  <si>
    <r>
      <t>熊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</si>
  <si>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米酒; 黄酒; 青稞酒; 白酒; 柑香酒; 果酒（含酒精）</t>
    </r>
  </si>
  <si>
    <r>
      <t>霹</t>
    </r>
    <r>
      <rPr>
        <sz val="11"/>
        <color theme="1"/>
        <rFont val="ＭＳ Ｐゴシック"/>
        <family val="3"/>
        <charset val="134"/>
        <scheme val="minor"/>
      </rPr>
      <t>雳</t>
    </r>
    <r>
      <rPr>
        <sz val="11"/>
        <color theme="1"/>
        <rFont val="ＭＳ Ｐゴシック"/>
        <family val="3"/>
        <charset val="128"/>
        <scheme val="minor"/>
      </rPr>
      <t>豹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</si>
  <si>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白葡萄酒;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</t>
    </r>
  </si>
  <si>
    <t>蜀渝盛唐</t>
  </si>
  <si>
    <t>王立新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</si>
  <si>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高粱酒; 威士忌; 露酒; 烈酒; 白酒; 果酒; 青稞酒; 黄酒; 米酒</t>
    </r>
  </si>
  <si>
    <t>郭昊睿</t>
  </si>
  <si>
    <r>
      <t>伊犁昊睿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</si>
  <si>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黄酒; 果酒（含酒精）;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</si>
  <si>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飨</t>
    </r>
    <r>
      <rPr>
        <sz val="11"/>
        <color theme="1"/>
        <rFont val="ＭＳ Ｐゴシック"/>
        <family val="3"/>
        <charset val="128"/>
        <scheme val="minor"/>
      </rPr>
      <t>渡</t>
    </r>
  </si>
  <si>
    <r>
      <t>杨红</t>
    </r>
    <r>
      <rPr>
        <sz val="11"/>
        <color theme="1"/>
        <rFont val="ＭＳ Ｐゴシック"/>
        <family val="3"/>
        <charset val="128"/>
        <scheme val="minor"/>
      </rPr>
      <t>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</si>
  <si>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</si>
  <si>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阿米醒醒</t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</si>
  <si>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米酒;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米酒）; 天然汽酒; 清酒</t>
    </r>
  </si>
  <si>
    <t>云品知</t>
  </si>
  <si>
    <r>
      <t>果酒; 蒸煮提取物（利口酒和烈酒）; 黄酒; 佐餐酒;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</si>
  <si>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r>
      <t>聚福</t>
    </r>
    <r>
      <rPr>
        <sz val="11"/>
        <color theme="1"/>
        <rFont val="ＭＳ Ｐゴシック"/>
        <family val="3"/>
        <charset val="134"/>
        <scheme val="minor"/>
      </rPr>
      <t>鲤</t>
    </r>
  </si>
  <si>
    <r>
      <t>聚福礼（江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</si>
  <si>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清酒（日本米酒）; 威士忌;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</si>
  <si>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麻魁公主</t>
  </si>
  <si>
    <r>
      <t>汽酒;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白葡萄酒</t>
    </r>
  </si>
  <si>
    <r>
      <t>DERUMU 德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姆</t>
    </r>
  </si>
  <si>
    <r>
      <t>彭明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</si>
  <si>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清酒（日本米酒）;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</t>
    </r>
  </si>
  <si>
    <t>NAIF</t>
  </si>
  <si>
    <r>
      <t>上海欣力餐</t>
    </r>
    <r>
      <rPr>
        <sz val="11"/>
        <color theme="1"/>
        <rFont val="ＭＳ Ｐゴシック"/>
        <family val="3"/>
        <charset val="134"/>
        <scheme val="minor"/>
      </rPr>
      <t>饮发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</si>
  <si>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</si>
  <si>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青稞酒; 梨酒; 开胃酒; 清酒（日本米酒）; 黄酒; 米酒; 利口酒; 葡萄酒</t>
    </r>
  </si>
  <si>
    <r>
      <t>桐臻年</t>
    </r>
    <r>
      <rPr>
        <sz val="11"/>
        <color theme="1"/>
        <rFont val="ＭＳ Ｐゴシック"/>
        <family val="3"/>
        <charset val="134"/>
        <scheme val="minor"/>
      </rPr>
      <t>华</t>
    </r>
  </si>
  <si>
    <t>高媛</t>
  </si>
  <si>
    <r>
      <t>葡萄酒; 米酒; 青稞酒;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果酒; 威士忌</t>
    </r>
  </si>
  <si>
    <t>茗建越君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</si>
  <si>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清酒（日本米酒）; 米酒;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果酒（含酒精）;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</si>
  <si>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旗白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</si>
  <si>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家口聚力商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</si>
  <si>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</si>
  <si>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舞</t>
    </r>
    <r>
      <rPr>
        <sz val="11"/>
        <color theme="1"/>
        <rFont val="ＭＳ Ｐゴシック"/>
        <family val="3"/>
        <charset val="134"/>
        <scheme val="minor"/>
      </rPr>
      <t>红尘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</si>
  <si>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 xml:space="preserve">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</si>
  <si>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粮虹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</si>
  <si>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清酒（日本米酒）; 果酒（含酒精）; 葡萄酒; 黄酒;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</si>
  <si>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道</t>
    </r>
  </si>
  <si>
    <t>汪海山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</si>
  <si>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</si>
  <si>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明流</t>
    </r>
  </si>
  <si>
    <t>河南省西王庄园生物科技有限公司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</si>
  <si>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果酒（含酒精）; 清酒（日本米酒）; 汽酒; 米酒</t>
    </r>
  </si>
  <si>
    <r>
      <t>源福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</si>
  <si>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化市香之源粮食种植家庭</t>
    </r>
    <r>
      <rPr>
        <sz val="11"/>
        <color theme="1"/>
        <rFont val="ＭＳ Ｐゴシック"/>
        <family val="3"/>
        <charset val="134"/>
        <scheme val="minor"/>
      </rPr>
      <t>农场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</si>
  <si>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葡萄酒</t>
    </r>
  </si>
  <si>
    <r>
      <t>古易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之公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</si>
  <si>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</t>
    </r>
  </si>
  <si>
    <t>滑医堂</t>
  </si>
  <si>
    <r>
      <t>李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娟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</si>
  <si>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</si>
  <si>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聚惠物</t>
  </si>
  <si>
    <r>
      <t>安徽</t>
    </r>
    <r>
      <rPr>
        <sz val="11"/>
        <color theme="1"/>
        <rFont val="ＭＳ Ｐゴシック"/>
        <family val="3"/>
        <charset val="134"/>
        <scheme val="minor"/>
      </rPr>
      <t>讯</t>
    </r>
    <r>
      <rPr>
        <sz val="11"/>
        <color theme="1"/>
        <rFont val="ＭＳ Ｐゴシック"/>
        <family val="3"/>
        <charset val="128"/>
        <scheme val="minor"/>
      </rPr>
      <t>焱商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</si>
  <si>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米酒;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</si>
  <si>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陆</t>
    </r>
    <r>
      <rPr>
        <sz val="11"/>
        <color theme="1"/>
        <rFont val="ＭＳ Ｐゴシック"/>
        <family val="3"/>
        <charset val="128"/>
        <scheme val="minor"/>
      </rPr>
      <t>礼特</t>
    </r>
  </si>
  <si>
    <r>
      <t>浙江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草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珍健康管理有限公司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</si>
  <si>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蝮蛇酒;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米酒; 起泡白葡萄酒</t>
    </r>
  </si>
  <si>
    <r>
      <t>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葡萄酒; 白酒; 果酒; 蜂蜜酒;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</si>
  <si>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相如圣梓</t>
  </si>
  <si>
    <r>
      <t>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米酒;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</si>
  <si>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尖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</si>
  <si>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州双关酒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</si>
  <si>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食用酒精;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利口酒</t>
    </r>
  </si>
  <si>
    <t>柯 柯小生</t>
  </si>
  <si>
    <r>
      <t>商丘市柏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</si>
  <si>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果酒（含酒精）; 米酒;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清酒（日本米酒）; 青稞酒; 梨酒; 苹果酒; 蜂蜜酒</t>
    </r>
  </si>
  <si>
    <t>施文德</t>
  </si>
  <si>
    <r>
      <t>卡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斯博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</si>
  <si>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t>裕西湖</t>
  </si>
  <si>
    <r>
      <t>李宏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</si>
  <si>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</si>
  <si>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孔小鑫</t>
  </si>
  <si>
    <r>
      <t>河南豫常香餐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</si>
  <si>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含酒精的气泡水; 威士忌;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朗姆酒;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</si>
  <si>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巨杭北高峰</t>
  </si>
  <si>
    <r>
      <t>颜</t>
    </r>
    <r>
      <rPr>
        <sz val="11"/>
        <color theme="1"/>
        <rFont val="ＭＳ Ｐゴシック"/>
        <family val="3"/>
        <charset val="128"/>
        <scheme val="minor"/>
      </rPr>
      <t>士建</t>
    </r>
  </si>
  <si>
    <r>
      <t>朗姆酒; 苹果酒; 蜂蜜酒; 伏特加酒; 黄酒;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杜松子酒; 果酒（含酒精）</t>
    </r>
  </si>
  <si>
    <t>ELECTRO X</t>
  </si>
  <si>
    <t>上海翰猿科技有限公司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</si>
  <si>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餐后酒（利口酒和烈酒）; 果酒（含酒精）</t>
    </r>
  </si>
  <si>
    <t>燕川君</t>
  </si>
  <si>
    <r>
      <t>四川餐</t>
    </r>
    <r>
      <rPr>
        <sz val="11"/>
        <color theme="1"/>
        <rFont val="ＭＳ Ｐゴシック"/>
        <family val="3"/>
        <charset val="134"/>
        <scheme val="minor"/>
      </rPr>
      <t>话</t>
    </r>
    <r>
      <rPr>
        <sz val="11"/>
        <color theme="1"/>
        <rFont val="ＭＳ Ｐゴシック"/>
        <family val="3"/>
        <charset val="128"/>
        <scheme val="minor"/>
      </rPr>
      <t>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</si>
  <si>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苦味酒; 薄荷酒;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茴芹酒（利口酒）; 茴香酒（利口酒）; 开胃酒; 果酒（含酒精）</t>
    </r>
  </si>
  <si>
    <t>津肴</t>
  </si>
  <si>
    <r>
      <t>孙</t>
    </r>
    <r>
      <rPr>
        <sz val="11"/>
        <color theme="1"/>
        <rFont val="ＭＳ Ｐゴシック"/>
        <family val="3"/>
        <charset val="128"/>
        <scheme val="minor"/>
      </rPr>
      <t>治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</si>
  <si>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高粱酒; 黄酒; 果酒; 米酒; 白酒; 烈酒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</si>
  <si>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衣兄弟</t>
    </r>
  </si>
  <si>
    <t>海南紫客科技有限公司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</si>
  <si>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米酒; 伏特加酒; 甜酒; 白酒</t>
    </r>
  </si>
  <si>
    <t>禾稻林</t>
  </si>
  <si>
    <r>
      <t>北京尚品世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</si>
  <si>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梅酒; 清酒; 果酒（含酒精）; 黄酒</t>
    </r>
  </si>
  <si>
    <r>
      <t>念渝</t>
    </r>
    <r>
      <rPr>
        <sz val="11"/>
        <color theme="1"/>
        <rFont val="ＭＳ Ｐゴシック"/>
        <family val="3"/>
        <charset val="134"/>
        <scheme val="minor"/>
      </rPr>
      <t>浆</t>
    </r>
  </si>
  <si>
    <r>
      <t>綦江区念渝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食品</t>
    </r>
    <r>
      <rPr>
        <sz val="11"/>
        <color theme="1"/>
        <rFont val="ＭＳ Ｐゴシック"/>
        <family val="3"/>
        <charset val="134"/>
        <scheme val="minor"/>
      </rPr>
      <t>经营</t>
    </r>
    <r>
      <rPr>
        <sz val="11"/>
        <color theme="1"/>
        <rFont val="ＭＳ Ｐゴシック"/>
        <family val="3"/>
        <charset val="128"/>
        <scheme val="minor"/>
      </rPr>
      <t>部（个体工商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</si>
  <si>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 xml:space="preserve">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</si>
  <si>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峪岭</t>
  </si>
  <si>
    <r>
      <t>包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市福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广告装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</si>
  <si>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果酒（含酒精）</t>
    </r>
  </si>
  <si>
    <r>
      <t>尊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朴莫</t>
    </r>
  </si>
  <si>
    <r>
      <t>尊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（深圳）集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</si>
  <si>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果酒（含酒精）; 葡萄酒</t>
    </r>
  </si>
  <si>
    <t>妃要美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</si>
  <si>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正臻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</si>
  <si>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葡萄酒; 利口酒</t>
    </r>
  </si>
  <si>
    <r>
      <t>尊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空加瓜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</si>
  <si>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果酒（含酒精）;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</si>
  <si>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杏叶青君道</t>
  </si>
  <si>
    <r>
      <t>山西青花亭酒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</si>
  <si>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清酒; 果酒; 威士忌; 苹果酒; 开胃酒; 米酒;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</si>
  <si>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芳</t>
    </r>
    <r>
      <rPr>
        <sz val="11"/>
        <color theme="1"/>
        <rFont val="ＭＳ Ｐゴシック"/>
        <family val="3"/>
        <charset val="134"/>
        <scheme val="minor"/>
      </rPr>
      <t>华龙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</si>
  <si>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彬</t>
    </r>
  </si>
  <si>
    <r>
      <t xml:space="preserve">白酒; 葡萄酒; 果酒（含酒精）;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</si>
  <si>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PENFOLDS BIN 144</t>
  </si>
  <si>
    <r>
      <t>南社布</t>
    </r>
    <r>
      <rPr>
        <sz val="11"/>
        <color theme="1"/>
        <rFont val="ＭＳ Ｐゴシック"/>
        <family val="3"/>
        <charset val="134"/>
        <scheme val="minor"/>
      </rPr>
      <t>兰兹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</si>
  <si>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加烈葡萄酒; 餐后酒（利口酒和烈酒）;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起泡白葡萄酒; 葡萄酒; 白酒; 葡萄汽酒;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</si>
  <si>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CHATEAU MORIN</t>
  </si>
  <si>
    <r>
      <t>翡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品（国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</si>
  <si>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威士忌; 米酒; 白酒; 清酒; 开胃酒; 果酒（含酒精）</t>
    </r>
  </si>
  <si>
    <r>
      <t>姜翁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</si>
  <si>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成都大</t>
    </r>
    <r>
      <rPr>
        <sz val="11"/>
        <color theme="1"/>
        <rFont val="ＭＳ Ｐゴシック"/>
        <family val="3"/>
        <charset val="134"/>
        <scheme val="minor"/>
      </rPr>
      <t>晔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</si>
  <si>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葡萄酒; 果酒; 米酒; 清酒;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白酒</t>
    </r>
  </si>
  <si>
    <t>荣帝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</si>
  <si>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岛骊龙</t>
    </r>
    <r>
      <rPr>
        <sz val="11"/>
        <color theme="1"/>
        <rFont val="ＭＳ Ｐゴシック"/>
        <family val="3"/>
        <charset val="128"/>
        <scheme val="minor"/>
      </rPr>
      <t>葡萄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</si>
  <si>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青稞酒</t>
    </r>
  </si>
  <si>
    <t>TUNGWAH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</si>
  <si>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城国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酒店有限公司</t>
    </r>
  </si>
  <si>
    <r>
      <t>青稞酒; 白酒; 汽酒; 黄酒; 苦味酒;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薄荷酒; 葡萄酒</t>
    </r>
  </si>
  <si>
    <r>
      <t>瑰</t>
    </r>
    <r>
      <rPr>
        <sz val="11"/>
        <color theme="1"/>
        <rFont val="ＭＳ Ｐゴシック"/>
        <family val="3"/>
        <charset val="134"/>
        <scheme val="minor"/>
      </rPr>
      <t>珑</t>
    </r>
  </si>
  <si>
    <r>
      <t>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威士忌; 开胃酒; 清酒;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</si>
  <si>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汉华</t>
    </r>
    <r>
      <rPr>
        <sz val="11"/>
        <color theme="1"/>
        <rFont val="ＭＳ Ｐゴシック"/>
        <family val="3"/>
        <charset val="128"/>
        <scheme val="minor"/>
      </rPr>
      <t>云天</t>
    </r>
  </si>
  <si>
    <r>
      <t>食用酒精;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</si>
  <si>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昂昂喜</t>
  </si>
  <si>
    <r>
      <t>吉林省小叔包餐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</si>
  <si>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开胃酒; 果酒（含酒精）; 威士忌; 杜松子酒; 青稞酒;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</si>
  <si>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ROUSUIDE</t>
  </si>
  <si>
    <r>
      <t>杨</t>
    </r>
    <r>
      <rPr>
        <sz val="11"/>
        <color theme="1"/>
        <rFont val="ＭＳ Ｐゴシック"/>
        <family val="3"/>
        <charset val="128"/>
        <scheme val="minor"/>
      </rPr>
      <t>勇</t>
    </r>
  </si>
  <si>
    <r>
      <t>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</t>
    </r>
  </si>
  <si>
    <t>黔王禄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</si>
  <si>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</si>
  <si>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r>
      <t>颜赏</t>
    </r>
    <r>
      <rPr>
        <sz val="11"/>
        <color theme="1"/>
        <rFont val="ＭＳ Ｐゴシック"/>
        <family val="3"/>
        <charset val="128"/>
        <scheme val="minor"/>
      </rPr>
      <t>悦</t>
    </r>
  </si>
  <si>
    <t>朱志武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</si>
  <si>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开胃酒; 葡萄酒</t>
    </r>
  </si>
  <si>
    <t>CHATEAU LA SALAGRE</t>
  </si>
  <si>
    <r>
      <t>清酒;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蜂蜜酒; 威士忌</t>
    </r>
  </si>
  <si>
    <t>并州无界</t>
  </si>
  <si>
    <r>
      <t>张</t>
    </r>
    <r>
      <rPr>
        <sz val="11"/>
        <color theme="1"/>
        <rFont val="ＭＳ Ｐゴシック"/>
        <family val="3"/>
        <charset val="128"/>
        <scheme val="minor"/>
      </rPr>
      <t>念国</t>
    </r>
  </si>
  <si>
    <r>
      <t xml:space="preserve">果酒（含酒精）;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</si>
  <si>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青虞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</si>
  <si>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广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渝</t>
    </r>
    <r>
      <rPr>
        <sz val="11"/>
        <color theme="1"/>
        <rFont val="ＭＳ Ｐゴシック"/>
        <family val="3"/>
        <charset val="134"/>
        <scheme val="minor"/>
      </rPr>
      <t>乐传</t>
    </r>
    <r>
      <rPr>
        <sz val="11"/>
        <color theme="1"/>
        <rFont val="ＭＳ Ｐゴシック"/>
        <family val="3"/>
        <charset val="128"/>
        <scheme val="minor"/>
      </rPr>
      <t>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</si>
  <si>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</t>
    </r>
  </si>
  <si>
    <t>元梦黔坤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</si>
  <si>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</si>
  <si>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葡萄酒; 利口酒;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黄酒</t>
    </r>
  </si>
  <si>
    <r>
      <t>商院</t>
    </r>
    <r>
      <rPr>
        <sz val="11"/>
        <color theme="1"/>
        <rFont val="ＭＳ Ｐゴシック"/>
        <family val="3"/>
        <charset val="134"/>
        <scheme val="minor"/>
      </rPr>
      <t>马</t>
    </r>
  </si>
  <si>
    <r>
      <t>北京共赴山河文化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</si>
  <si>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葡萄酒; 白酒; 果酒; 威士忌; 黄酒</t>
    </r>
  </si>
  <si>
    <r>
      <t>乡</t>
    </r>
    <r>
      <rPr>
        <sz val="11"/>
        <color theme="1"/>
        <rFont val="ＭＳ Ｐゴシック"/>
        <family val="3"/>
        <charset val="128"/>
        <scheme val="minor"/>
      </rPr>
      <t>梁佬友</t>
    </r>
  </si>
  <si>
    <t>薛蓓</t>
  </si>
  <si>
    <r>
      <t>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</si>
  <si>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元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</si>
  <si>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</si>
  <si>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清酒（日本米酒）; 烈酒; 果酒（含酒精）; 黄酒; 葡萄酒</t>
    </r>
  </si>
  <si>
    <t>双喜硬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</si>
  <si>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州招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</si>
  <si>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葡萄酒; 开胃酒; 白酒</t>
    </r>
  </si>
  <si>
    <r>
      <t>咸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居</t>
    </r>
  </si>
  <si>
    <r>
      <t>上海咸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居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</si>
  <si>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</si>
  <si>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滋全（上海）餐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</si>
  <si>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甜果酒; 日式甜米酒; 白酒; 高粱酒;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</si>
  <si>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月芽瓷</t>
  </si>
  <si>
    <r>
      <t>王运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</si>
  <si>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葡萄酒; 苦味酒; 露酒; 青稞酒; 果酒; 白酒; 清酒; 汽酒; 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</si>
  <si>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t>云崖湖</t>
  </si>
  <si>
    <r>
      <t>张</t>
    </r>
    <r>
      <rPr>
        <sz val="11"/>
        <color theme="1"/>
        <rFont val="ＭＳ Ｐゴシック"/>
        <family val="3"/>
        <charset val="128"/>
        <scheme val="minor"/>
      </rPr>
      <t>兵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</si>
  <si>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果酒（含酒精）; 黄酒; 利口酒;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</si>
  <si>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潼鼎酒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</si>
  <si>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伏特加酒; 果酒（含酒精）;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</si>
  <si>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星</t>
    </r>
    <r>
      <rPr>
        <sz val="11"/>
        <color theme="1"/>
        <rFont val="ＭＳ Ｐゴシック"/>
        <family val="3"/>
        <charset val="134"/>
        <scheme val="minor"/>
      </rPr>
      <t>啸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</si>
  <si>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莞市商</t>
    </r>
    <r>
      <rPr>
        <sz val="11"/>
        <color theme="1"/>
        <rFont val="ＭＳ Ｐゴシック"/>
        <family val="3"/>
        <charset val="134"/>
        <scheme val="minor"/>
      </rPr>
      <t>讼实业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</si>
  <si>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食用酒精; 米酒</t>
    </r>
  </si>
  <si>
    <r>
      <t>萱</t>
    </r>
    <r>
      <rPr>
        <sz val="11"/>
        <color theme="1"/>
        <rFont val="ＭＳ Ｐゴシック"/>
        <family val="3"/>
        <charset val="134"/>
        <scheme val="minor"/>
      </rPr>
      <t>兰荟</t>
    </r>
  </si>
  <si>
    <r>
      <t>成都点亮万佳商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</si>
  <si>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米酒; 葡萄酒</t>
    </r>
  </si>
  <si>
    <r>
      <t>金礼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牌礼</t>
    </r>
    <r>
      <rPr>
        <sz val="11"/>
        <color theme="1"/>
        <rFont val="ＭＳ Ｐゴシック"/>
        <family val="3"/>
        <charset val="134"/>
        <scheme val="minor"/>
      </rPr>
      <t>宾酝</t>
    </r>
    <r>
      <rPr>
        <sz val="11"/>
        <color theme="1"/>
        <rFont val="ＭＳ Ｐゴシック"/>
        <family val="3"/>
        <charset val="128"/>
        <scheme val="minor"/>
      </rPr>
      <t xml:space="preserve"> 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牌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 xml:space="preserve">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牌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礼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</si>
  <si>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果酒; 清酒;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</si>
  <si>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比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9"/>
        <scheme val="minor"/>
      </rPr>
      <t>朵</t>
    </r>
  </si>
  <si>
    <r>
      <t xml:space="preserve">开胃酒; 果酒（含酒精）; 白酒; 葡萄酒; 威士忌;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</si>
  <si>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辞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</si>
  <si>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粤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品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(广州)有限公司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</si>
  <si>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清酒（日本米酒）; 白酒;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</t>
    </r>
  </si>
  <si>
    <r>
      <t>管</t>
    </r>
    <r>
      <rPr>
        <sz val="11"/>
        <color theme="1"/>
        <rFont val="ＭＳ Ｐゴシック"/>
        <family val="3"/>
        <charset val="134"/>
        <scheme val="minor"/>
      </rPr>
      <t>电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</si>
  <si>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旭</t>
    </r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</si>
  <si>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起泡白葡萄酒;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米酒;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</si>
  <si>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敏</t>
    </r>
    <r>
      <rPr>
        <sz val="11"/>
        <color theme="1"/>
        <rFont val="ＭＳ Ｐゴシック"/>
        <family val="3"/>
        <charset val="134"/>
        <scheme val="minor"/>
      </rPr>
      <t>锐</t>
    </r>
    <r>
      <rPr>
        <sz val="11"/>
        <color theme="1"/>
        <rFont val="ＭＳ Ｐゴシック"/>
        <family val="3"/>
        <charset val="128"/>
        <scheme val="minor"/>
      </rPr>
      <t>王子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</si>
  <si>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州敏</t>
    </r>
    <r>
      <rPr>
        <sz val="11"/>
        <color theme="1"/>
        <rFont val="ＭＳ Ｐゴシック"/>
        <family val="3"/>
        <charset val="134"/>
        <scheme val="minor"/>
      </rPr>
      <t>锐</t>
    </r>
    <r>
      <rPr>
        <sz val="11"/>
        <color theme="1"/>
        <rFont val="ＭＳ Ｐゴシック"/>
        <family val="3"/>
        <charset val="128"/>
        <scheme val="minor"/>
      </rPr>
      <t>达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</si>
  <si>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葡萄酒</t>
    </r>
  </si>
  <si>
    <t>鎏光河</t>
  </si>
  <si>
    <t>姚桃康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</si>
  <si>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葡萄酒; 黄酒; 白酒; 烈酒; 开胃酒</t>
    </r>
  </si>
  <si>
    <t>金佤泰</t>
  </si>
  <si>
    <r>
      <t>临沧</t>
    </r>
    <r>
      <rPr>
        <sz val="11"/>
        <color theme="1"/>
        <rFont val="ＭＳ Ｐゴシック"/>
        <family val="3"/>
        <charset val="128"/>
        <scheme val="minor"/>
      </rPr>
      <t>金佤泰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</si>
  <si>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甜酒; 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</si>
  <si>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CHATEAU VIEUX COUTELIN</t>
  </si>
  <si>
    <r>
      <t xml:space="preserve">清酒;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米酒; 威士忌; 蜂蜜酒;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</si>
  <si>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宁夏洛娜河谷酒庄有限公司</t>
  </si>
  <si>
    <r>
      <t>果酒;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酸酒（低等葡萄酒）;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</si>
  <si>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秦</t>
    </r>
    <r>
      <rPr>
        <sz val="11"/>
        <color theme="1"/>
        <rFont val="ＭＳ Ｐゴシック"/>
        <family val="3"/>
        <charset val="134"/>
        <scheme val="minor"/>
      </rPr>
      <t>镜</t>
    </r>
    <r>
      <rPr>
        <sz val="11"/>
        <color theme="1"/>
        <rFont val="ＭＳ Ｐゴシック"/>
        <family val="3"/>
        <charset val="128"/>
        <scheme val="minor"/>
      </rPr>
      <t>楼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</si>
  <si>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</si>
  <si>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州滴滴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</si>
  <si>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伏特加酒;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</si>
  <si>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字游天地</t>
  </si>
  <si>
    <r>
      <t>惠州市万方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</si>
  <si>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米酒; 黄酒;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</si>
  <si>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竞</t>
    </r>
    <r>
      <rPr>
        <sz val="11"/>
        <color theme="1"/>
        <rFont val="ＭＳ Ｐゴシック"/>
        <family val="3"/>
        <charset val="128"/>
        <scheme val="minor"/>
      </rPr>
      <t>幸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</si>
  <si>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六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</si>
  <si>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利口酒; 黄酒; 开胃酒; 白酒;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蜂蜜酒;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</si>
  <si>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ROSUIDO</t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</si>
  <si>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</si>
  <si>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</si>
  <si>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芳萍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</si>
  <si>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米酒; 白酒; 清酒（日本米酒）</t>
    </r>
  </si>
  <si>
    <r>
      <t>励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幸运六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</si>
  <si>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市赤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</si>
  <si>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</si>
  <si>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r>
      <t>励</t>
    </r>
    <r>
      <rPr>
        <sz val="11"/>
        <color theme="1"/>
        <rFont val="ＭＳ Ｐゴシック"/>
        <family val="3"/>
        <charset val="134"/>
        <scheme val="minor"/>
      </rPr>
      <t>宫贵宾</t>
    </r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</si>
  <si>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高粱酒; 果酒</t>
    </r>
  </si>
  <si>
    <t>西木西木</t>
  </si>
  <si>
    <r>
      <t>新疆荔枝文化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</si>
  <si>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</si>
  <si>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雁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小白</t>
    </r>
  </si>
  <si>
    <r>
      <t>李建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</si>
  <si>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清酒（日本米酒）; 汽酒; 食用酒精; 果酒（含酒精）; 开胃酒; 葡萄酒</t>
    </r>
  </si>
  <si>
    <r>
      <t>誉圣</t>
    </r>
    <r>
      <rPr>
        <sz val="11"/>
        <color theme="1"/>
        <rFont val="ＭＳ Ｐゴシック"/>
        <family val="3"/>
        <charset val="134"/>
        <scheme val="minor"/>
      </rPr>
      <t>贤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</si>
  <si>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威士忌; 青稞酒; 烈酒</t>
    </r>
  </si>
  <si>
    <t>清西施</t>
  </si>
  <si>
    <t>黄美香</t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</si>
  <si>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蜂蜜酒;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</si>
  <si>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好邑达</t>
  </si>
  <si>
    <r>
      <t>南通瑶和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</si>
  <si>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薄荷酒; 葡萄酒;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青稞酒; 白酒; 朗姆酒</t>
    </r>
  </si>
  <si>
    <r>
      <t>尊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麦坡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</si>
  <si>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</si>
  <si>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世君心</t>
  </si>
  <si>
    <r>
      <t>邓</t>
    </r>
    <r>
      <rPr>
        <sz val="11"/>
        <color theme="1"/>
        <rFont val="ＭＳ Ｐゴシック"/>
        <family val="3"/>
        <charset val="128"/>
        <scheme val="minor"/>
      </rPr>
      <t>毓淑</t>
    </r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</si>
  <si>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果酒（含酒精）; 清酒（日本米酒）;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</t>
    </r>
  </si>
  <si>
    <t>上古毓秀</t>
  </si>
  <si>
    <r>
      <t>保定毓秀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</si>
  <si>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</t>
    </r>
  </si>
  <si>
    <r>
      <t>隆中</t>
    </r>
    <r>
      <rPr>
        <sz val="11"/>
        <color theme="1"/>
        <rFont val="ＭＳ Ｐゴシック"/>
        <family val="3"/>
        <charset val="134"/>
        <scheme val="minor"/>
      </rPr>
      <t>对</t>
    </r>
  </si>
  <si>
    <r>
      <t>湖北古隆中演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</si>
  <si>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高粱酒; 米酒; 梨酒;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</si>
  <si>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半薪伴酒</t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</si>
  <si>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清酒;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</t>
    </r>
  </si>
  <si>
    <t>CHATEAU GRILLON</t>
  </si>
  <si>
    <r>
      <t xml:space="preserve">蜂蜜酒; 果酒（含酒精）; 白酒;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威士忌;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</si>
  <si>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信而立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</si>
  <si>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</si>
  <si>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忽如</t>
  </si>
  <si>
    <t>成都一方自在科技有限公司</t>
  </si>
  <si>
    <r>
      <t>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开胃酒;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</si>
  <si>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匠后名</t>
  </si>
  <si>
    <r>
      <t>赵</t>
    </r>
    <r>
      <rPr>
        <sz val="11"/>
        <color theme="1"/>
        <rFont val="ＭＳ Ｐゴシック"/>
        <family val="3"/>
        <charset val="128"/>
        <scheme val="minor"/>
      </rPr>
      <t>望</t>
    </r>
  </si>
  <si>
    <r>
      <t xml:space="preserve">开胃酒; 黄酒; 威士忌; 葡萄酒;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</si>
  <si>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花柏禾</t>
  </si>
  <si>
    <r>
      <t>赵</t>
    </r>
    <r>
      <rPr>
        <sz val="11"/>
        <color theme="1"/>
        <rFont val="ＭＳ Ｐゴシック"/>
        <family val="3"/>
        <charset val="128"/>
        <scheme val="minor"/>
      </rPr>
      <t>占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</si>
  <si>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 xml:space="preserve">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汽酒; 米酒; 葡萄酒</t>
    </r>
  </si>
  <si>
    <r>
      <t>西北</t>
    </r>
    <r>
      <rPr>
        <sz val="11"/>
        <color theme="1"/>
        <rFont val="ＭＳ Ｐゴシック"/>
        <family val="3"/>
        <charset val="134"/>
        <scheme val="minor"/>
      </rPr>
      <t>鹰</t>
    </r>
  </si>
  <si>
    <r>
      <t>彭俊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</si>
  <si>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</si>
  <si>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赤将</t>
    </r>
  </si>
  <si>
    <r>
      <t xml:space="preserve">葡萄酒; 清酒;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果酒; 米酒; 汽酒</t>
    </r>
  </si>
  <si>
    <t>坤名粮</t>
  </si>
  <si>
    <r>
      <t>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黄酒; 清酒;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汽酒</t>
    </r>
  </si>
  <si>
    <t>土山沟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</si>
  <si>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宁关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</si>
  <si>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果酒; 白酒; 黄酒; 开胃酒;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烈酒</t>
    </r>
  </si>
  <si>
    <t>章墨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</si>
  <si>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市江云</t>
    </r>
    <r>
      <rPr>
        <sz val="11"/>
        <color theme="1"/>
        <rFont val="ＭＳ Ｐゴシック"/>
        <family val="3"/>
        <charset val="134"/>
        <scheme val="minor"/>
      </rPr>
      <t>汇贸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</si>
  <si>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</si>
  <si>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</si>
  <si>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汤</t>
    </r>
    <r>
      <rPr>
        <sz val="11"/>
        <color theme="1"/>
        <rFont val="ＭＳ Ｐゴシック"/>
        <family val="3"/>
        <charset val="128"/>
        <scheme val="minor"/>
      </rPr>
      <t>阴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灰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</si>
  <si>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白酒;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</si>
  <si>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钓</t>
    </r>
    <r>
      <rPr>
        <sz val="11"/>
        <color theme="1"/>
        <rFont val="ＭＳ Ｐゴシック"/>
        <family val="3"/>
        <charset val="128"/>
        <scheme val="minor"/>
      </rPr>
      <t>台四季酒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</si>
  <si>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黄酒; 白酒;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</si>
  <si>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茅香（三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）酒</t>
    </r>
    <r>
      <rPr>
        <sz val="11"/>
        <color theme="1"/>
        <rFont val="ＭＳ Ｐゴシック"/>
        <family val="3"/>
        <charset val="134"/>
        <scheme val="minor"/>
      </rPr>
      <t>业连锁营销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</si>
  <si>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</si>
  <si>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荷燕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</si>
  <si>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万鼎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</si>
  <si>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高粱酒; 蝮蛇酒;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果酒; 食用酒精; 黄酒; 清酒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</si>
  <si>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禾御袍黄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</si>
  <si>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郑</t>
    </r>
    <r>
      <rPr>
        <sz val="11"/>
        <color theme="1"/>
        <rFont val="ＭＳ Ｐゴシック"/>
        <family val="3"/>
        <charset val="128"/>
        <scheme val="minor"/>
      </rPr>
      <t>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</si>
  <si>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葡萄酒; 果酒（含酒精）; 白酒;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</si>
  <si>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元无右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</si>
  <si>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州市元无傲科技有限公司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</si>
  <si>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清酒（日本米酒）; 高粱酒; 白酒; 伏特加酒; 朗姆酒; 果酒;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</si>
  <si>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柔</t>
    </r>
    <r>
      <rPr>
        <sz val="11"/>
        <color theme="1"/>
        <rFont val="ＭＳ Ｐゴシック"/>
        <family val="3"/>
        <charset val="134"/>
        <scheme val="minor"/>
      </rPr>
      <t>枫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</si>
  <si>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 xml:space="preserve">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</si>
  <si>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株式会社</t>
    </r>
    <r>
      <rPr>
        <sz val="11"/>
        <color theme="1"/>
        <rFont val="ＭＳ Ｐゴシック"/>
        <family val="3"/>
        <charset val="134"/>
        <scheme val="minor"/>
      </rPr>
      <t>濑</t>
    </r>
    <r>
      <rPr>
        <sz val="11"/>
        <color theme="1"/>
        <rFont val="ＭＳ Ｐゴシック"/>
        <family val="3"/>
        <charset val="128"/>
        <scheme val="minor"/>
      </rPr>
      <t>戸酒造店</t>
    </r>
  </si>
  <si>
    <r>
      <t>白酒; 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杜松子酒; 利口酒; 梨酒;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草莓酒;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朗姆酒; 葡萄酒;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</si>
  <si>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深圳超富</t>
    </r>
    <r>
      <rPr>
        <sz val="11"/>
        <color theme="1"/>
        <rFont val="ＭＳ Ｐゴシック"/>
        <family val="3"/>
        <charset val="134"/>
        <scheme val="minor"/>
      </rPr>
      <t>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</si>
  <si>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杜松子酒;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伏特加酒;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</si>
  <si>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天福</t>
    </r>
  </si>
  <si>
    <r>
      <t>王培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</si>
  <si>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烈酒; 葡萄酒; 黄酒; 开胃酒; 白酒; 果酒（含酒精）; 清酒（日本米酒）</t>
    </r>
  </si>
  <si>
    <r>
      <t>铁</t>
    </r>
    <r>
      <rPr>
        <sz val="11"/>
        <color theme="1"/>
        <rFont val="ＭＳ Ｐゴシック"/>
        <family val="3"/>
        <charset val="128"/>
        <scheme val="minor"/>
      </rPr>
      <t>山情</t>
    </r>
  </si>
  <si>
    <r>
      <t>湖南普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特体育科技股份有限公司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</si>
  <si>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烈酒; 白酒; 清酒; 米酒; 果酒; 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</si>
  <si>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特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格雅</t>
    </r>
  </si>
  <si>
    <t>内蒙古曼德拉生物科技有限公司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</si>
  <si>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</si>
  <si>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遗贡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</si>
  <si>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市春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</si>
  <si>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</si>
  <si>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克·洛奇</t>
    </r>
  </si>
  <si>
    <r>
      <t>洛克瑞德生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(海南)有限公司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</si>
  <si>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米酒; 甜酒;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</si>
  <si>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酩亭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</si>
  <si>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香白酒集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</si>
  <si>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白酒</t>
    </r>
  </si>
  <si>
    <t>FILTERED THROUGH GOLD COSMOPOLITAN DIVA</t>
  </si>
  <si>
    <r>
      <t>安珀拉脱</t>
    </r>
    <r>
      <rPr>
        <sz val="11"/>
        <color theme="1"/>
        <rFont val="ＭＳ Ｐゴシック"/>
        <family val="3"/>
        <charset val="134"/>
        <scheme val="minor"/>
      </rPr>
      <t>维亚</t>
    </r>
    <r>
      <rPr>
        <sz val="11"/>
        <color theme="1"/>
        <rFont val="ＭＳ Ｐゴシック"/>
        <family val="3"/>
        <charset val="128"/>
        <scheme val="minor"/>
      </rPr>
      <t>香脂股份公司</t>
    </r>
  </si>
  <si>
    <r>
      <t>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</si>
  <si>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赫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芪</t>
    </r>
  </si>
  <si>
    <r>
      <t>开胃酒;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清酒;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</si>
  <si>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锄</t>
    </r>
    <r>
      <rPr>
        <sz val="11"/>
        <color theme="1"/>
        <rFont val="ＭＳ Ｐゴシック"/>
        <family val="3"/>
        <charset val="128"/>
        <scheme val="minor"/>
      </rPr>
      <t>云</t>
    </r>
  </si>
  <si>
    <r>
      <t>河南耕田有道商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</si>
  <si>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利口酒</t>
    </r>
  </si>
  <si>
    <t>湖南省酥小小的食品科技有限公司</t>
  </si>
  <si>
    <r>
      <t xml:space="preserve">薄荷酒;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</t>
    </r>
  </si>
  <si>
    <r>
      <t>雁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白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</si>
  <si>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果酒（含酒精）;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清酒（日本米酒）; 汽酒</t>
    </r>
  </si>
  <si>
    <t>JEMORENO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</si>
  <si>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</si>
  <si>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闻</t>
    </r>
    <r>
      <rPr>
        <sz val="11"/>
        <color theme="1"/>
        <rFont val="ＭＳ Ｐゴシック"/>
        <family val="3"/>
        <charset val="128"/>
        <scheme val="minor"/>
      </rPr>
      <t>九天禄酒</t>
    </r>
  </si>
  <si>
    <r>
      <t>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白酒; 蜂蜜酒; 威士忌; 清酒（日本米酒）; 米酒</t>
    </r>
  </si>
  <si>
    <t>温禧</t>
  </si>
  <si>
    <r>
      <t>瑞安市温土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</si>
  <si>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蜂蜜酒; 葡萄酒;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</si>
  <si>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义</t>
    </r>
    <r>
      <rPr>
        <sz val="11"/>
        <color theme="1"/>
        <rFont val="ＭＳ Ｐゴシック"/>
        <family val="3"/>
        <charset val="128"/>
        <scheme val="minor"/>
      </rPr>
      <t>养仁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</si>
  <si>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养仁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</si>
  <si>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黄酒; 米酒; 汽酒; 朗姆酒;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</si>
  <si>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醇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</si>
  <si>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恩</t>
    </r>
    <r>
      <rPr>
        <sz val="11"/>
        <color theme="1"/>
        <rFont val="ＭＳ Ｐゴシック"/>
        <family val="3"/>
        <charset val="134"/>
        <scheme val="minor"/>
      </rPr>
      <t>赐</t>
    </r>
  </si>
  <si>
    <r>
      <t>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烈性干酒; 冷</t>
    </r>
    <r>
      <rPr>
        <sz val="11"/>
        <color theme="1"/>
        <rFont val="ＭＳ Ｐゴシック"/>
        <family val="3"/>
        <charset val="134"/>
        <scheme val="minor"/>
      </rPr>
      <t>冻</t>
    </r>
    <r>
      <rPr>
        <sz val="11"/>
        <color theme="1"/>
        <rFont val="ＭＳ Ｐゴシック"/>
        <family val="3"/>
        <charset val="128"/>
        <scheme val="minor"/>
      </rPr>
      <t>凝胶状的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</t>
    </r>
  </si>
  <si>
    <t>水云唐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</si>
  <si>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</si>
  <si>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ORENJEBEEM</t>
  </si>
  <si>
    <r>
      <t>时红</t>
    </r>
    <r>
      <rPr>
        <sz val="11"/>
        <color theme="1"/>
        <rFont val="ＭＳ Ｐゴシック"/>
        <family val="3"/>
        <charset val="128"/>
        <scheme val="minor"/>
      </rPr>
      <t>洋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</si>
  <si>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</si>
  <si>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云瑶玉璧</t>
  </si>
  <si>
    <r>
      <t>薛</t>
    </r>
    <r>
      <rPr>
        <sz val="11"/>
        <color theme="1"/>
        <rFont val="ＭＳ Ｐゴシック"/>
        <family val="3"/>
        <charset val="134"/>
        <scheme val="minor"/>
      </rPr>
      <t>继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</si>
  <si>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葡萄酒; 开胃酒; 食用酒精;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</si>
  <si>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宽</t>
    </r>
    <r>
      <rPr>
        <sz val="11"/>
        <color theme="1"/>
        <rFont val="ＭＳ Ｐゴシック"/>
        <family val="3"/>
        <charset val="128"/>
        <scheme val="minor"/>
      </rPr>
      <t>厚尹</t>
    </r>
  </si>
  <si>
    <r>
      <t>北京天行瑞丰投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控股有限公司</t>
    </r>
  </si>
  <si>
    <r>
      <t xml:space="preserve">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米酒;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</si>
  <si>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枫鉴</t>
  </si>
  <si>
    <r>
      <t>吉林省合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生物有限公司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</si>
  <si>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露酒; 果酒（含酒精）; 清酒; 葡萄酒; 黄酒;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</si>
  <si>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草集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市</t>
    </r>
  </si>
  <si>
    <r>
      <t>河南国医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草健康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</si>
  <si>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苦艾酒; 露酒; 米酒; 白酒; 黄酒; 食用酒精;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</si>
  <si>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夏紫薇</t>
  </si>
  <si>
    <t>柏焱聃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</si>
  <si>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</si>
  <si>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口粮美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</si>
  <si>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州新星汽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</si>
  <si>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清酒; 蒸煮提取物（利口酒和烈酒）;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</si>
  <si>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t>富丞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</si>
  <si>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州李成商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</si>
  <si>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</si>
  <si>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r>
      <t>粮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百家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</si>
  <si>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果酒;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葡萄酒; 黄酒; 米酒</t>
    </r>
  </si>
  <si>
    <t>蜀稻泉</t>
  </si>
  <si>
    <r>
      <t>四川省天府盛涛酒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</si>
  <si>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</si>
  <si>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铝</t>
    </r>
    <r>
      <rPr>
        <sz val="11"/>
        <color theme="1"/>
        <rFont val="ＭＳ Ｐゴシック"/>
        <family val="3"/>
        <charset val="128"/>
        <scheme val="minor"/>
      </rPr>
      <t>斯基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</si>
  <si>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莞市瑞宝商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</si>
  <si>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甜酒; 白酒; 葡萄酒; 黄酒; 朗姆酒;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</si>
  <si>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宝赫利</t>
  </si>
  <si>
    <r>
      <t>深圳欧孚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</si>
  <si>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酸酒（低等葡萄酒）; 威士忌; 果酒（含酒精）; 开胃酒; 蒸煮提取物（利口酒和烈酒）</t>
    </r>
  </si>
  <si>
    <r>
      <t>川</t>
    </r>
    <r>
      <rPr>
        <sz val="11"/>
        <color theme="1"/>
        <rFont val="ＭＳ Ｐゴシック"/>
        <family val="3"/>
        <charset val="134"/>
        <scheme val="minor"/>
      </rPr>
      <t>蔺</t>
    </r>
    <r>
      <rPr>
        <sz val="11"/>
        <color theme="1"/>
        <rFont val="ＭＳ Ｐゴシック"/>
        <family val="3"/>
        <charset val="128"/>
        <scheme val="minor"/>
      </rPr>
      <t>古玉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</si>
  <si>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蔺县</t>
    </r>
    <r>
      <rPr>
        <sz val="11"/>
        <color theme="1"/>
        <rFont val="ＭＳ Ｐゴシック"/>
        <family val="3"/>
        <charset val="128"/>
        <scheme val="minor"/>
      </rPr>
      <t>川</t>
    </r>
    <r>
      <rPr>
        <sz val="11"/>
        <color theme="1"/>
        <rFont val="ＭＳ Ｐゴシック"/>
        <family val="3"/>
        <charset val="134"/>
        <scheme val="minor"/>
      </rPr>
      <t>蔺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</si>
  <si>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茴香酒（利口酒）; 黄酒; 白酒; 苹果酒;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</t>
    </r>
  </si>
  <si>
    <t>儒圣杜甫</t>
  </si>
  <si>
    <r>
      <t>威士忌;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薄荷酒;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</si>
  <si>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杏清仙</t>
  </si>
  <si>
    <r>
      <t>山西鑫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</si>
  <si>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威士忌; 青稞酒;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</si>
  <si>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彬欣思成</t>
  </si>
  <si>
    <r>
      <t>顾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</si>
  <si>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>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威士忌; 果酒（含酒精）; 米酒; 利口酒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</si>
  <si>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囤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</si>
  <si>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东绿</t>
    </r>
    <r>
      <rPr>
        <sz val="11"/>
        <color theme="1"/>
        <rFont val="ＭＳ Ｐゴシック"/>
        <family val="3"/>
        <charset val="128"/>
        <scheme val="minor"/>
      </rPr>
      <t>囤生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</si>
  <si>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梨酒;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</t>
    </r>
  </si>
  <si>
    <t>景年</t>
  </si>
  <si>
    <t>雷建昌</t>
  </si>
  <si>
    <t>甜酒; 果酒; 清酒; 葡萄酒; 黄酒; 汽酒; 食用酒精; 白酒; 米酒; 开胃酒</t>
  </si>
  <si>
    <t>元小北</t>
  </si>
  <si>
    <r>
      <t>张</t>
    </r>
    <r>
      <rPr>
        <sz val="11"/>
        <color theme="1"/>
        <rFont val="ＭＳ Ｐゴシック"/>
        <family val="3"/>
        <charset val="128"/>
        <scheme val="minor"/>
      </rPr>
      <t>宁</t>
    </r>
  </si>
  <si>
    <r>
      <t xml:space="preserve">果酒（含酒精）; 梨酒; 葡萄酒; 青稞酒; 白酒; 威士忌;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</si>
  <si>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全美之哥</t>
  </si>
  <si>
    <r>
      <t>北京国</t>
    </r>
    <r>
      <rPr>
        <sz val="11"/>
        <color theme="1"/>
        <rFont val="ＭＳ Ｐゴシック"/>
        <family val="3"/>
        <charset val="134"/>
        <scheme val="minor"/>
      </rPr>
      <t>颜</t>
    </r>
    <r>
      <rPr>
        <sz val="11"/>
        <color theme="1"/>
        <rFont val="ＭＳ Ｐゴシック"/>
        <family val="3"/>
        <charset val="128"/>
        <scheme val="minor"/>
      </rPr>
      <t>文化科技有限公司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</si>
  <si>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果酒（含酒精）;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</si>
  <si>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赞</t>
    </r>
    <r>
      <rPr>
        <sz val="11"/>
        <color theme="1"/>
        <rFont val="ＭＳ Ｐゴシック"/>
        <family val="3"/>
        <charset val="128"/>
        <scheme val="minor"/>
      </rPr>
      <t>乘 GOOD CEMG</t>
    </r>
  </si>
  <si>
    <t>程敬文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</si>
  <si>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烈酒; 威士忌; 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</si>
  <si>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蜜</t>
    </r>
    <r>
      <rPr>
        <sz val="11"/>
        <color theme="1"/>
        <rFont val="ＭＳ Ｐゴシック"/>
        <family val="3"/>
        <charset val="134"/>
        <scheme val="minor"/>
      </rPr>
      <t>玛</t>
    </r>
  </si>
  <si>
    <r>
      <t>深圳市摩天</t>
    </r>
    <r>
      <rPr>
        <sz val="11"/>
        <color theme="1"/>
        <rFont val="ＭＳ Ｐゴシック"/>
        <family val="3"/>
        <charset val="134"/>
        <scheme val="minor"/>
      </rPr>
      <t>轮</t>
    </r>
    <r>
      <rPr>
        <sz val="11"/>
        <color theme="1"/>
        <rFont val="ＭＳ Ｐゴシック"/>
        <family val="3"/>
        <charset val="128"/>
        <scheme val="minor"/>
      </rPr>
      <t>科技教育有限公司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</si>
  <si>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蜂蜜酒; 薄荷酒; 果酒（含酒精）; 苦味酒; 苹果酒; 葡萄酒</t>
    </r>
  </si>
  <si>
    <t>五峯蓉源</t>
  </si>
  <si>
    <r>
      <t>姜宏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</si>
  <si>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</t>
    </r>
  </si>
  <si>
    <t>君世道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</si>
  <si>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黄酒; 葡萄酒; 果酒（含酒精）; 白酒; 米酒</t>
    </r>
  </si>
  <si>
    <r>
      <t>平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石</t>
    </r>
    <r>
      <rPr>
        <sz val="11"/>
        <color theme="1"/>
        <rFont val="ＭＳ Ｐゴシック"/>
        <family val="3"/>
        <charset val="134"/>
        <scheme val="minor"/>
      </rPr>
      <t>坝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</si>
  <si>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</si>
  <si>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匠心玉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</si>
  <si>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白酒; 葡萄酒; 汽酒; 清酒; 米酒; 果酒; 黄酒</t>
    </r>
  </si>
  <si>
    <t>HIDF</t>
  </si>
  <si>
    <r>
      <t>格力地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</si>
  <si>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</si>
  <si>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禧来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</si>
  <si>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</si>
  <si>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PIAO TAI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</si>
  <si>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飘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</si>
  <si>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开胃酒; 蒸煮提取物（利口酒和烈酒）</t>
    </r>
  </si>
  <si>
    <r>
      <t>金谷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</si>
  <si>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伏特加酒; 加烈葡萄酒; 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</si>
  <si>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LOCO CIMBALI</t>
  </si>
  <si>
    <r>
      <t xml:space="preserve">加烈葡萄酒; 葡萄酒;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伏特加酒;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</si>
  <si>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邯宁</t>
  </si>
  <si>
    <r>
      <t>贾</t>
    </r>
    <r>
      <rPr>
        <sz val="11"/>
        <color theme="1"/>
        <rFont val="ＭＳ Ｐゴシック"/>
        <family val="3"/>
        <charset val="128"/>
        <scheme val="minor"/>
      </rPr>
      <t>新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</si>
  <si>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</si>
  <si>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赫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素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</si>
  <si>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威士忌; 果酒（含酒精）; 白酒; 清酒;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</si>
  <si>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醉范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</si>
  <si>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嘉善范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粮油果蔬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</si>
  <si>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开胃酒; 黄酒;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汽酒; 果酒（含酒精）; 葡萄酒</t>
    </r>
  </si>
  <si>
    <r>
      <t>瑗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家族</t>
    </r>
  </si>
  <si>
    <r>
      <t>英国</t>
    </r>
    <r>
      <rPr>
        <sz val="11"/>
        <color theme="1"/>
        <rFont val="ＭＳ Ｐゴシック"/>
        <family val="3"/>
        <charset val="129"/>
        <scheme val="minor"/>
      </rPr>
      <t>查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</si>
  <si>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果酒; 起泡白葡萄酒;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</si>
  <si>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禾宝石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</si>
  <si>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</si>
  <si>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浏</t>
    </r>
    <r>
      <rPr>
        <sz val="11"/>
        <color theme="1"/>
        <rFont val="ＭＳ Ｐゴシック"/>
        <family val="3"/>
        <charset val="128"/>
        <scheme val="minor"/>
      </rPr>
      <t>庄</t>
    </r>
  </si>
  <si>
    <r>
      <t>吕现</t>
    </r>
    <r>
      <rPr>
        <sz val="11"/>
        <color theme="1"/>
        <rFont val="ＭＳ Ｐゴシック"/>
        <family val="3"/>
        <charset val="128"/>
        <scheme val="minor"/>
      </rPr>
      <t>潮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</si>
  <si>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米酒</t>
    </r>
  </si>
  <si>
    <t>MOULIN SAINT VINCENT</t>
  </si>
  <si>
    <r>
      <t>葡萄酒; 威士忌;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开胃酒; 蜂蜜酒; 米酒; 白酒</t>
    </r>
  </si>
  <si>
    <t>硬如意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</si>
  <si>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果酒（含酒精）</t>
    </r>
  </si>
  <si>
    <r>
      <t>超</t>
    </r>
    <r>
      <rPr>
        <sz val="11"/>
        <color theme="1"/>
        <rFont val="ＭＳ Ｐゴシック"/>
        <family val="3"/>
        <charset val="134"/>
        <scheme val="minor"/>
      </rPr>
      <t>级陇</t>
    </r>
  </si>
  <si>
    <t>果酒; 汽酒; 清酒; 食用酒精; 黄酒; 白酒; 米酒; 甜酒; 葡萄酒; 开胃酒</t>
  </si>
  <si>
    <t>BP-PEP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</si>
  <si>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萃生物科技有限公司</t>
    </r>
  </si>
  <si>
    <r>
      <t>果酒（含酒精）;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苹果酒; 黄酒</t>
    </r>
  </si>
  <si>
    <t>爵普</t>
  </si>
  <si>
    <t>爵普科技（深圳）有限公司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</si>
  <si>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甜酒; 水果汽酒;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甜果酒; 果酒; 混合威士忌酒; 高粱酒</t>
    </r>
  </si>
  <si>
    <t>橙率</t>
  </si>
  <si>
    <r>
      <t>赣</t>
    </r>
    <r>
      <rPr>
        <sz val="11"/>
        <color theme="1"/>
        <rFont val="ＭＳ Ｐゴシック"/>
        <family val="3"/>
        <charset val="128"/>
        <scheme val="minor"/>
      </rPr>
      <t>州立志</t>
    </r>
    <r>
      <rPr>
        <sz val="11"/>
        <color theme="1"/>
        <rFont val="ＭＳ Ｐゴシック"/>
        <family val="3"/>
        <charset val="134"/>
        <scheme val="minor"/>
      </rPr>
      <t>积</t>
    </r>
    <r>
      <rPr>
        <sz val="11"/>
        <color theme="1"/>
        <rFont val="ＭＳ Ｐゴシック"/>
        <family val="3"/>
        <charset val="128"/>
        <scheme val="minor"/>
      </rPr>
      <t>家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</si>
  <si>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威士忌;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</si>
  <si>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丞富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</si>
  <si>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葡萄酒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</si>
  <si>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葡萄酒; 白葡萄酒;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</si>
  <si>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鸟笼</t>
    </r>
    <r>
      <rPr>
        <sz val="11"/>
        <color theme="1"/>
        <rFont val="ＭＳ Ｐゴシック"/>
        <family val="3"/>
        <charset val="128"/>
        <scheme val="minor"/>
      </rPr>
      <t>包</t>
    </r>
  </si>
  <si>
    <r>
      <t>北京什刹海之源会</t>
    </r>
    <r>
      <rPr>
        <sz val="11"/>
        <color theme="1"/>
        <rFont val="ＭＳ Ｐゴシック"/>
        <family val="3"/>
        <charset val="134"/>
        <scheme val="minor"/>
      </rPr>
      <t>奖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</si>
  <si>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清酒; 葡萄酒;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青稞酒; 食用酒精;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白干酒（中国白酒）</t>
    </r>
  </si>
  <si>
    <t>魅金坊</t>
  </si>
  <si>
    <r>
      <t xml:space="preserve">清酒; 高粱酒;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露酒; 果酒（含酒精）; 烈酒; 黄酒</t>
    </r>
  </si>
  <si>
    <t>婧氏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</si>
  <si>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聚米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</si>
  <si>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干型苹果酒;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混合威士忌酒; 黄酒; 苹果酒; 含酒精的气泡水; 白干酒（中国白酒）</t>
    </r>
  </si>
  <si>
    <r>
      <t>渔</t>
    </r>
    <r>
      <rPr>
        <sz val="11"/>
        <color theme="1"/>
        <rFont val="ＭＳ Ｐゴシック"/>
        <family val="3"/>
        <charset val="128"/>
        <scheme val="minor"/>
      </rPr>
      <t>桐</t>
    </r>
  </si>
  <si>
    <t>林桂萍</t>
  </si>
  <si>
    <r>
      <t>黄酒; 葡萄酒;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</si>
  <si>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昌金福</t>
    </r>
  </si>
  <si>
    <r>
      <t>餐后酒（利口酒和烈酒）; 朗姆酒;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青稞酒; 食用酒精; 葡萄酒; 黄酒; 米酒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</si>
  <si>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</si>
  <si>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和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嘉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</si>
  <si>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</si>
  <si>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开胃酒; 葡萄酒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</si>
  <si>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家大院窑中窖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</si>
  <si>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超</t>
    </r>
  </si>
  <si>
    <r>
      <t xml:space="preserve">米酒; 蜂蜜酒;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开胃酒;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</si>
  <si>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青谷印象</t>
  </si>
  <si>
    <r>
      <t>安徽青谷酒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</si>
  <si>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露酒;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高粱酒;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</si>
  <si>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香悦</t>
    </r>
  </si>
  <si>
    <r>
      <t>黄酒; 开胃酒; 清酒（日本米酒）;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</si>
  <si>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草堂太</t>
  </si>
  <si>
    <r>
      <t>张</t>
    </r>
    <r>
      <rPr>
        <sz val="11"/>
        <color theme="1"/>
        <rFont val="ＭＳ Ｐゴシック"/>
        <family val="3"/>
        <charset val="128"/>
        <scheme val="minor"/>
      </rPr>
      <t>平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</si>
  <si>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果酒; 露酒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</si>
  <si>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禾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</si>
  <si>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</si>
  <si>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杰莫雷</t>
    </r>
    <r>
      <rPr>
        <sz val="11"/>
        <color theme="1"/>
        <rFont val="ＭＳ Ｐゴシック"/>
        <family val="3"/>
        <charset val="134"/>
        <scheme val="minor"/>
      </rPr>
      <t>诺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</si>
  <si>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白葡萄酒; 葡萄酒;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</si>
  <si>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青谷泉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</si>
  <si>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露酒;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</si>
  <si>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岭南香山堂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</si>
  <si>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香山堂制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</si>
  <si>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果酒（含酒精）; 白干酒（中国白酒）; 黄酒; 佐餐酒; 露酒;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</si>
  <si>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r>
      <t>泷</t>
    </r>
    <r>
      <rPr>
        <sz val="11"/>
        <color theme="1"/>
        <rFont val="ＭＳ Ｐゴシック"/>
        <family val="3"/>
        <charset val="128"/>
        <scheme val="minor"/>
      </rPr>
      <t>橦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</si>
  <si>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定市</t>
    </r>
    <r>
      <rPr>
        <sz val="11"/>
        <color theme="1"/>
        <rFont val="ＭＳ Ｐゴシック"/>
        <family val="3"/>
        <charset val="134"/>
        <scheme val="minor"/>
      </rPr>
      <t>泷</t>
    </r>
    <r>
      <rPr>
        <sz val="11"/>
        <color theme="1"/>
        <rFont val="ＭＳ Ｐゴシック"/>
        <family val="3"/>
        <charset val="128"/>
        <scheme val="minor"/>
      </rPr>
      <t>橦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</si>
  <si>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</si>
  <si>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数家康</t>
  </si>
  <si>
    <t>合肥浩特生物科技有限公司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</si>
  <si>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烈酒;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</si>
  <si>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羊和仙</t>
  </si>
  <si>
    <t>李春植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</si>
  <si>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甜果酒;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</si>
  <si>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楚人</t>
    </r>
    <r>
      <rPr>
        <sz val="11"/>
        <color theme="1"/>
        <rFont val="ＭＳ Ｐゴシック"/>
        <family val="3"/>
        <charset val="134"/>
        <scheme val="minor"/>
      </rPr>
      <t>浔</t>
    </r>
  </si>
  <si>
    <r>
      <t>唐毓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</si>
  <si>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黄酒;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清酒（日本米酒）; 威士忌</t>
    </r>
  </si>
  <si>
    <t>贡树</t>
  </si>
  <si>
    <r>
      <t>化州市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园化橘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</si>
  <si>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黄酒; 米酒; 烈酒;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</si>
  <si>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屿</t>
    </r>
    <r>
      <rPr>
        <sz val="11"/>
        <color theme="1"/>
        <rFont val="ＭＳ Ｐゴシック"/>
        <family val="3"/>
        <charset val="128"/>
        <scheme val="minor"/>
      </rPr>
      <t>里</t>
    </r>
  </si>
  <si>
    <r>
      <t>湖北天</t>
    </r>
    <r>
      <rPr>
        <sz val="11"/>
        <color theme="1"/>
        <rFont val="ＭＳ Ｐゴシック"/>
        <family val="3"/>
        <charset val="134"/>
        <scheme val="minor"/>
      </rPr>
      <t>屿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</si>
  <si>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</si>
  <si>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北小</t>
    </r>
    <r>
      <rPr>
        <sz val="11"/>
        <color theme="1"/>
        <rFont val="ＭＳ Ｐゴシック"/>
        <family val="3"/>
        <charset val="134"/>
        <scheme val="minor"/>
      </rPr>
      <t>纵</t>
    </r>
  </si>
  <si>
    <r>
      <t>南宁北小</t>
    </r>
    <r>
      <rPr>
        <sz val="11"/>
        <color theme="1"/>
        <rFont val="ＭＳ Ｐゴシック"/>
        <family val="3"/>
        <charset val="134"/>
        <scheme val="minor"/>
      </rPr>
      <t>纵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</si>
  <si>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梅酒; 果酒; 高粱酒; 米酒; 伏特加酒; 白酒</t>
    </r>
  </si>
  <si>
    <t>DIENGPAI</t>
  </si>
  <si>
    <r>
      <t>汕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市珍派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</si>
  <si>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青梅酒; 含酒精的气泡水;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</si>
  <si>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来美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</si>
  <si>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</si>
  <si>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果酒（含酒精）; 露酒; 黄酒;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</si>
  <si>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燕杜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</si>
  <si>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威士忌; 黄酒; 食用酒精</t>
    </r>
  </si>
  <si>
    <r>
      <t>好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心五点零</t>
    </r>
  </si>
  <si>
    <r>
      <t>百年康（海南）医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</si>
  <si>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葡萄酒;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苹果酒; 白干酒（中国白酒）;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</si>
  <si>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星焰</t>
  </si>
  <si>
    <t>刘春雪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</si>
  <si>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</si>
  <si>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松光里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</si>
  <si>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江省不退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意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</si>
  <si>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朗姆酒; 白酒;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</si>
  <si>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青谷醇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</si>
  <si>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葡萄酒;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米酒; 白酒</t>
    </r>
  </si>
  <si>
    <t>正魂</t>
  </si>
  <si>
    <r>
      <t>蒋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正******************</t>
    </r>
  </si>
  <si>
    <r>
      <t xml:space="preserve">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</t>
    </r>
  </si>
  <si>
    <t>丰池圣窖</t>
  </si>
  <si>
    <r>
      <t>陈</t>
    </r>
    <r>
      <rPr>
        <sz val="11"/>
        <color theme="1"/>
        <rFont val="ＭＳ Ｐゴシック"/>
        <family val="3"/>
        <charset val="128"/>
        <scheme val="minor"/>
      </rPr>
      <t>琴</t>
    </r>
  </si>
  <si>
    <r>
      <t>开胃酒; 果酒;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</si>
  <si>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钓</t>
    </r>
    <r>
      <rPr>
        <sz val="11"/>
        <color theme="1"/>
        <rFont val="ＭＳ Ｐゴシック"/>
        <family val="3"/>
        <charset val="128"/>
        <scheme val="minor"/>
      </rPr>
      <t>君莱</t>
    </r>
  </si>
  <si>
    <t>袁子俊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</si>
  <si>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</si>
  <si>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天塞酒庄</t>
  </si>
  <si>
    <r>
      <t>新疆天塞酒庄有限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</si>
  <si>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朗姆酒; 汽酒; 利口酒;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</si>
  <si>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粉色的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 xml:space="preserve"> PINK FISH</t>
    </r>
  </si>
  <si>
    <r>
      <t>湖南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人邦品牌管理有限公司</t>
    </r>
  </si>
  <si>
    <r>
      <t>黄酒; 白干酒（中国白酒）;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</si>
  <si>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趣</t>
    </r>
    <r>
      <rPr>
        <sz val="11"/>
        <color theme="1"/>
        <rFont val="ＭＳ Ｐゴシック"/>
        <family val="3"/>
        <charset val="134"/>
        <scheme val="minor"/>
      </rPr>
      <t>创</t>
    </r>
  </si>
  <si>
    <r>
      <t>腾</t>
    </r>
    <r>
      <rPr>
        <sz val="11"/>
        <color theme="1"/>
        <rFont val="ＭＳ Ｐゴシック"/>
        <family val="3"/>
        <charset val="128"/>
        <scheme val="minor"/>
      </rPr>
      <t>趣集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</si>
  <si>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清酒（日本米酒）;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</t>
    </r>
  </si>
  <si>
    <r>
      <t>艾欧</t>
    </r>
    <r>
      <rPr>
        <sz val="11"/>
        <color theme="1"/>
        <rFont val="ＭＳ Ｐゴシック"/>
        <family val="3"/>
        <charset val="134"/>
        <scheme val="minor"/>
      </rPr>
      <t>缇</t>
    </r>
  </si>
  <si>
    <r>
      <t>沈阳潮噱文化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</si>
  <si>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威士忌; 利口酒;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伏特加酒;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果酒（含酒精）</t>
    </r>
  </si>
  <si>
    <r>
      <t>影之</t>
    </r>
    <r>
      <rPr>
        <sz val="11"/>
        <color theme="1"/>
        <rFont val="ＭＳ Ｐゴシック"/>
        <family val="3"/>
        <charset val="134"/>
        <scheme val="minor"/>
      </rPr>
      <t>谜</t>
    </r>
  </si>
  <si>
    <r>
      <t>上海蔓士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日用品有限公司</t>
    </r>
  </si>
  <si>
    <r>
      <t>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露酒; 白酒;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苹果酒</t>
    </r>
  </si>
  <si>
    <r>
      <t>汇凯</t>
    </r>
    <r>
      <rPr>
        <sz val="11"/>
        <color theme="1"/>
        <rFont val="ＭＳ Ｐゴシック"/>
        <family val="3"/>
        <charset val="128"/>
        <scheme val="minor"/>
      </rPr>
      <t>睿</t>
    </r>
  </si>
  <si>
    <r>
      <t>汇凯</t>
    </r>
    <r>
      <rPr>
        <sz val="11"/>
        <color theme="1"/>
        <rFont val="ＭＳ Ｐゴシック"/>
        <family val="3"/>
        <charset val="128"/>
        <scheme val="minor"/>
      </rPr>
      <t>睿市</t>
    </r>
    <r>
      <rPr>
        <sz val="11"/>
        <color theme="1"/>
        <rFont val="ＭＳ Ｐゴシック"/>
        <family val="3"/>
        <charset val="134"/>
        <scheme val="minor"/>
      </rPr>
      <t>场调</t>
    </r>
    <r>
      <rPr>
        <sz val="11"/>
        <color theme="1"/>
        <rFont val="ＭＳ Ｐゴシック"/>
        <family val="3"/>
        <charset val="129"/>
        <scheme val="minor"/>
      </rPr>
      <t>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</si>
  <si>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开胃酒;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</si>
  <si>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文林堰西</t>
  </si>
  <si>
    <r>
      <t>江阴市瑞阳食品商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</si>
  <si>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</si>
  <si>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果酒（含酒精）;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</si>
  <si>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佬香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</si>
  <si>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杰</t>
    </r>
  </si>
  <si>
    <t>开胃酒; 汽酒; 清酒; 甜酒; 黄酒; 米酒; 果酒; 白酒; 葡萄酒; 食用酒精</t>
  </si>
  <si>
    <t>韵非凡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</si>
  <si>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市芬儿家政服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</si>
  <si>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</si>
  <si>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啸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</si>
  <si>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 xml:space="preserve">黄酒; 米酒; 葡萄酒;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</t>
    </r>
  </si>
  <si>
    <t>白加道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</si>
  <si>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</t>
    </r>
  </si>
  <si>
    <t>云康莱</t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</si>
  <si>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市云康莱酒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</si>
  <si>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汽酒;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</si>
  <si>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仙物象</t>
  </si>
  <si>
    <r>
      <t>湖北活水供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</si>
  <si>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烈酒;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</si>
  <si>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倾</t>
    </r>
    <r>
      <rPr>
        <sz val="11"/>
        <color theme="1"/>
        <rFont val="ＭＳ Ｐゴシック"/>
        <family val="3"/>
        <charset val="128"/>
        <scheme val="minor"/>
      </rPr>
      <t>瓮香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</si>
  <si>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倾</t>
    </r>
    <r>
      <rPr>
        <sz val="11"/>
        <color theme="1"/>
        <rFont val="ＭＳ Ｐゴシック"/>
        <family val="3"/>
        <charset val="128"/>
        <scheme val="minor"/>
      </rPr>
      <t>瓮香酒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</si>
  <si>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米酒;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威士忌;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</si>
  <si>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率先者</t>
  </si>
  <si>
    <r>
      <t>晋江和富投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</si>
  <si>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烈酒; 白酒;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</si>
  <si>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t>渡澎</t>
  </si>
  <si>
    <r>
      <t>苏</t>
    </r>
    <r>
      <rPr>
        <sz val="11"/>
        <color theme="1"/>
        <rFont val="ＭＳ Ｐゴシック"/>
        <family val="3"/>
        <charset val="128"/>
        <scheme val="minor"/>
      </rPr>
      <t>建祥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</si>
  <si>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蒸煮提取物（利口酒和烈酒）; 白酒; 开胃酒;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</si>
  <si>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悦</t>
    </r>
    <r>
      <rPr>
        <sz val="11"/>
        <color theme="1"/>
        <rFont val="ＭＳ Ｐゴシック"/>
        <family val="3"/>
        <charset val="134"/>
        <scheme val="minor"/>
      </rPr>
      <t>汖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</si>
  <si>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朋超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</si>
  <si>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</si>
  <si>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t>盛易安</t>
  </si>
  <si>
    <r>
      <t>海南盛易安投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</si>
  <si>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伏特加酒</t>
    </r>
  </si>
  <si>
    <r>
      <t>藏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</si>
  <si>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令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</si>
  <si>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威士忌</t>
    </r>
  </si>
  <si>
    <r>
      <t>储</t>
    </r>
    <r>
      <rPr>
        <sz val="11"/>
        <color theme="1"/>
        <rFont val="ＭＳ Ｐゴシック"/>
        <family val="3"/>
        <charset val="128"/>
        <scheme val="minor"/>
      </rPr>
      <t>金粮</t>
    </r>
  </si>
  <si>
    <r>
      <t>曹</t>
    </r>
    <r>
      <rPr>
        <sz val="11"/>
        <color theme="1"/>
        <rFont val="ＭＳ Ｐゴシック"/>
        <family val="3"/>
        <charset val="134"/>
        <scheme val="minor"/>
      </rPr>
      <t>兴刚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</si>
  <si>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开胃酒;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朗姆酒</t>
    </r>
  </si>
  <si>
    <r>
      <t>桂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</si>
  <si>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甄国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</si>
  <si>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黄酒; 白干酒（中国白酒）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</si>
  <si>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大厨</t>
    </r>
  </si>
  <si>
    <r>
      <t>上</t>
    </r>
    <r>
      <rPr>
        <sz val="11"/>
        <color theme="1"/>
        <rFont val="ＭＳ Ｐゴシック"/>
        <family val="3"/>
        <charset val="134"/>
        <scheme val="minor"/>
      </rPr>
      <t>饶</t>
    </r>
    <r>
      <rPr>
        <sz val="11"/>
        <color theme="1"/>
        <rFont val="ＭＳ Ｐゴシック"/>
        <family val="3"/>
        <charset val="128"/>
        <scheme val="minor"/>
      </rPr>
      <t>广信区惠粮食品有限公司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</si>
  <si>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利口酒; 果酒（含酒精）</t>
    </r>
  </si>
  <si>
    <r>
      <t>墨家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邦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</si>
  <si>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先勇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</si>
  <si>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白干酒（中国白酒）; 食用酒精;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</si>
  <si>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宅姐姐美人</t>
    </r>
    <r>
      <rPr>
        <sz val="11"/>
        <color theme="1"/>
        <rFont val="ＭＳ Ｐゴシック"/>
        <family val="3"/>
        <charset val="134"/>
        <scheme val="minor"/>
      </rPr>
      <t>琼</t>
    </r>
    <r>
      <rPr>
        <sz val="11"/>
        <color theme="1"/>
        <rFont val="ＭＳ Ｐゴシック"/>
        <family val="3"/>
        <charset val="128"/>
        <scheme val="minor"/>
      </rPr>
      <t>酒</t>
    </r>
  </si>
  <si>
    <t>浙江荣启清祥信息科技有限公司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</si>
  <si>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</si>
  <si>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总</t>
    </r>
    <r>
      <rPr>
        <sz val="11"/>
        <color theme="1"/>
        <rFont val="ＭＳ Ｐゴシック"/>
        <family val="3"/>
        <charset val="128"/>
        <scheme val="minor"/>
      </rPr>
      <t>督</t>
    </r>
  </si>
  <si>
    <r>
      <t>谭</t>
    </r>
    <r>
      <rPr>
        <sz val="11"/>
        <color theme="1"/>
        <rFont val="ＭＳ Ｐゴシック"/>
        <family val="3"/>
        <charset val="128"/>
        <scheme val="minor"/>
      </rPr>
      <t>心梅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</si>
  <si>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米酒; 果酒（含酒精）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</si>
  <si>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知音</t>
    </r>
  </si>
  <si>
    <r>
      <t>彭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</si>
  <si>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清酒（日本米酒）; 果酒（含酒精）; 白酒; 烈酒;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汽酒</t>
    </r>
  </si>
  <si>
    <r>
      <t>渡金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</si>
  <si>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>刘</t>
    </r>
    <r>
      <rPr>
        <sz val="11"/>
        <color theme="1"/>
        <rFont val="ＭＳ Ｐゴシック"/>
        <family val="3"/>
        <charset val="129"/>
        <scheme val="minor"/>
      </rPr>
      <t>洁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</si>
  <si>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白酒; 威士忌; 米酒</t>
    </r>
  </si>
  <si>
    <t>宏祈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</si>
  <si>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州典福酒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</si>
  <si>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苹果酒</t>
    </r>
  </si>
  <si>
    <r>
      <t>今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猴</t>
    </r>
  </si>
  <si>
    <r>
      <t>陈帅</t>
    </r>
    <r>
      <rPr>
        <sz val="11"/>
        <color theme="1"/>
        <rFont val="ＭＳ Ｐゴシック"/>
        <family val="3"/>
        <charset val="128"/>
        <scheme val="minor"/>
      </rPr>
      <t>佳</t>
    </r>
  </si>
  <si>
    <t>汽酒; 白酒; 葡萄酒; 果酒; 甜酒; 米酒; 食用酒精; 黄酒; 开胃酒; 清酒</t>
  </si>
  <si>
    <t>瑛禄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</si>
  <si>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州柳氏酒</t>
    </r>
    <r>
      <rPr>
        <sz val="11"/>
        <color theme="1"/>
        <rFont val="ＭＳ Ｐゴシック"/>
        <family val="3"/>
        <charset val="134"/>
        <scheme val="minor"/>
      </rPr>
      <t>业贸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</si>
  <si>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威士忌;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</si>
  <si>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古榜</t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</si>
  <si>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蜂蜜酒; 白酒; 开胃酒; 葡萄酒; 果酒（含酒精）</t>
    </r>
  </si>
  <si>
    <t>逸彦坊</t>
  </si>
  <si>
    <r>
      <t>廊坊市醇品商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</si>
  <si>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汽酒; 黄酒; 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</si>
  <si>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益点</t>
    </r>
    <r>
      <rPr>
        <sz val="11"/>
        <color theme="1"/>
        <rFont val="ＭＳ Ｐゴシック"/>
        <family val="3"/>
        <charset val="134"/>
        <scheme val="minor"/>
      </rPr>
      <t>赞</t>
    </r>
  </si>
  <si>
    <r>
      <t>葡萄酒; 梅酒;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青梅酒; 白酒; 米酒; 果酒</t>
    </r>
  </si>
  <si>
    <r>
      <t>四川宜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流杯池酒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</si>
  <si>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五加皮酒（中国混合烈酒）; 米酒;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青稞酒; 清酒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</si>
  <si>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兄弟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</si>
  <si>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匡映</t>
    </r>
  </si>
  <si>
    <r>
      <t>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</si>
  <si>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大成日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</si>
  <si>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安徽广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</si>
  <si>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威士忌; 食用酒精; 米酒;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</si>
  <si>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头盏</t>
    </r>
    <r>
      <rPr>
        <sz val="11"/>
        <color theme="1"/>
        <rFont val="ＭＳ Ｐゴシック"/>
        <family val="3"/>
        <charset val="128"/>
        <scheme val="minor"/>
      </rPr>
      <t>旺</t>
    </r>
  </si>
  <si>
    <t>杨贵长</t>
  </si>
  <si>
    <r>
      <t>白酒; 果酒;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米酒; 葡萄酒; 梅酒</t>
    </r>
  </si>
  <si>
    <t>君吟令</t>
  </si>
  <si>
    <t>邱雪英</t>
  </si>
  <si>
    <r>
      <t>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开胃酒; 黄酒; 葡萄酒;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</si>
  <si>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如火</t>
    </r>
  </si>
  <si>
    <r>
      <t>白干酒（中国白酒）;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露酒; 青稞酒; 烈酒;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</t>
    </r>
  </si>
  <si>
    <r>
      <t>铁</t>
    </r>
    <r>
      <rPr>
        <sz val="11"/>
        <color theme="1"/>
        <rFont val="ＭＳ Ｐゴシック"/>
        <family val="3"/>
        <charset val="128"/>
        <scheme val="minor"/>
      </rPr>
      <t>盖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</si>
  <si>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汤</t>
    </r>
    <r>
      <rPr>
        <sz val="11"/>
        <color theme="1"/>
        <rFont val="ＭＳ Ｐゴシック"/>
        <family val="3"/>
        <charset val="128"/>
        <scheme val="minor"/>
      </rPr>
      <t>阴</t>
    </r>
    <r>
      <rPr>
        <sz val="11"/>
        <color theme="1"/>
        <rFont val="ＭＳ Ｐゴシック"/>
        <family val="3"/>
        <charset val="134"/>
        <scheme val="minor"/>
      </rPr>
      <t>县钟</t>
    </r>
    <r>
      <rPr>
        <sz val="11"/>
        <color theme="1"/>
        <rFont val="ＭＳ Ｐゴシック"/>
        <family val="3"/>
        <charset val="128"/>
        <scheme val="minor"/>
      </rPr>
      <t>素百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</si>
  <si>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</si>
  <si>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哇咦哇</t>
    </r>
    <r>
      <rPr>
        <sz val="11"/>
        <color theme="1"/>
        <rFont val="ＭＳ Ｐゴシック"/>
        <family val="3"/>
        <charset val="134"/>
        <scheme val="minor"/>
      </rPr>
      <t>噜</t>
    </r>
  </si>
  <si>
    <r>
      <t>深圳市灵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</si>
  <si>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</si>
  <si>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供</t>
    </r>
    <r>
      <rPr>
        <sz val="11"/>
        <color theme="1"/>
        <rFont val="ＭＳ Ｐゴシック"/>
        <family val="3"/>
        <charset val="134"/>
        <scheme val="minor"/>
      </rPr>
      <t>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</si>
  <si>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州上善人家酒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</si>
  <si>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高粱酒;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米酒</t>
    </r>
  </si>
  <si>
    <t>酌爽</t>
  </si>
  <si>
    <r>
      <t>王</t>
    </r>
    <r>
      <rPr>
        <sz val="11"/>
        <color theme="1"/>
        <rFont val="ＭＳ Ｐゴシック"/>
        <family val="3"/>
        <charset val="134"/>
        <scheme val="minor"/>
      </rPr>
      <t>腾飞</t>
    </r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</si>
  <si>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白酒; 清酒;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</si>
  <si>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YIGU LIFE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</si>
  <si>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东谊</t>
    </r>
    <r>
      <rPr>
        <sz val="11"/>
        <color theme="1"/>
        <rFont val="ＭＳ Ｐゴシック"/>
        <family val="3"/>
        <charset val="128"/>
        <scheme val="minor"/>
      </rPr>
      <t>宏致行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</si>
  <si>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</si>
  <si>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r>
      <t>柏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泉</t>
    </r>
  </si>
  <si>
    <t>余民</t>
  </si>
  <si>
    <r>
      <t xml:space="preserve">白酒; 开胃酒; 伏特加酒; 黄酒; 青稞酒; 食用酒精;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</si>
  <si>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君</t>
    </r>
  </si>
  <si>
    <r>
      <t>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黄酒; 葡萄酒; 清酒（日本米酒）; 果酒（含酒精）; 威士忌</t>
    </r>
  </si>
  <si>
    <t>啡力普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</si>
  <si>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狙网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</si>
  <si>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白酒;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葡萄酒;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</t>
    </r>
  </si>
  <si>
    <t>犟马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</si>
  <si>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酒庄（集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</si>
  <si>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苹果酒; 酸酒(低等葡萄酒); 白酒; 青稞酒; 清酒(日本米酒); 甜果酒;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</t>
    </r>
  </si>
  <si>
    <r>
      <t>中羿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</si>
  <si>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起泡白葡萄酒;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葡萄酒; 甜果酒; 白酒;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</si>
  <si>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牧童</t>
    </r>
    <r>
      <rPr>
        <sz val="11"/>
        <color theme="1"/>
        <rFont val="ＭＳ Ｐゴシック"/>
        <family val="3"/>
        <charset val="134"/>
        <scheme val="minor"/>
      </rPr>
      <t>谣</t>
    </r>
  </si>
  <si>
    <r>
      <t>山西牧童</t>
    </r>
    <r>
      <rPr>
        <sz val="11"/>
        <color theme="1"/>
        <rFont val="ＭＳ Ｐゴシック"/>
        <family val="3"/>
        <charset val="134"/>
        <scheme val="minor"/>
      </rPr>
      <t>谣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</si>
  <si>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清酒; 利口酒; 清酒（日本米酒）;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</si>
  <si>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XIMXIM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</si>
  <si>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米酒</t>
    </r>
  </si>
  <si>
    <r>
      <t>挚</t>
    </r>
    <r>
      <rPr>
        <sz val="11"/>
        <color theme="1"/>
        <rFont val="ＭＳ Ｐゴシック"/>
        <family val="3"/>
        <charset val="129"/>
        <scheme val="minor"/>
      </rPr>
      <t>强</t>
    </r>
  </si>
  <si>
    <t>王秀云</t>
  </si>
  <si>
    <r>
      <t xml:space="preserve">烈酒;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白酒; 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</si>
  <si>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埦粮金冠原</t>
  </si>
  <si>
    <r>
      <t>泗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冠源酒</t>
    </r>
    <r>
      <rPr>
        <sz val="11"/>
        <color theme="1"/>
        <rFont val="ＭＳ Ｐゴシック"/>
        <family val="3"/>
        <charset val="134"/>
        <scheme val="minor"/>
      </rPr>
      <t>业经营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</si>
  <si>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苦味酒;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清酒（日本米酒）;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</si>
  <si>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播城古酒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</si>
  <si>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州百年</t>
    </r>
    <r>
      <rPr>
        <sz val="11"/>
        <color theme="1"/>
        <rFont val="ＭＳ Ｐゴシック"/>
        <family val="3"/>
        <charset val="134"/>
        <scheme val="minor"/>
      </rPr>
      <t>酱乡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</si>
  <si>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开胃酒; 葡萄酒;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</si>
  <si>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BALAKLAVA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</si>
  <si>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葡萄酒;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加烈葡萄酒;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</si>
  <si>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野自在</t>
  </si>
  <si>
    <t>陈显维</t>
  </si>
  <si>
    <t>开胃酒; 汽酒; 黄酒; 果酒; 米酒; 葡萄酒; 甜酒; 食用酒精; 清酒; 白酒</t>
  </si>
  <si>
    <r>
      <t>胜</t>
    </r>
    <r>
      <rPr>
        <sz val="11"/>
        <color theme="1"/>
        <rFont val="ＭＳ Ｐゴシック"/>
        <family val="3"/>
        <charset val="128"/>
        <scheme val="minor"/>
      </rPr>
      <t>粮元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</si>
  <si>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权</t>
    </r>
    <r>
      <rPr>
        <sz val="11"/>
        <color theme="1"/>
        <rFont val="ＭＳ Ｐゴシック"/>
        <family val="3"/>
        <charset val="128"/>
        <scheme val="minor"/>
      </rPr>
      <t>清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</si>
  <si>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烈酒; 黄酒; 威士忌</t>
    </r>
  </si>
  <si>
    <r>
      <t>奈</t>
    </r>
    <r>
      <rPr>
        <sz val="11"/>
        <color theme="1"/>
        <rFont val="ＭＳ Ｐゴシック"/>
        <family val="3"/>
        <charset val="134"/>
        <scheme val="minor"/>
      </rPr>
      <t>颜</t>
    </r>
  </si>
  <si>
    <r>
      <t>成都奥古斯汀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</si>
  <si>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白酒; 葡萄酒; 米酒; 清酒</t>
    </r>
  </si>
  <si>
    <r>
      <t>俄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</si>
  <si>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迷恩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</si>
  <si>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朗姆酒;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烈酒; 白酒</t>
    </r>
  </si>
  <si>
    <r>
      <t>北岳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盛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</si>
  <si>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宝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</si>
  <si>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威士忌;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清酒（日本米酒）; 苹果酒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</si>
  <si>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味状</t>
    </r>
  </si>
  <si>
    <t>童鑫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</si>
  <si>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黄酒; 威士忌</t>
    </r>
  </si>
  <si>
    <r>
      <t>杏露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</si>
  <si>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果酒（含酒精）</t>
    </r>
  </si>
  <si>
    <t>PANGUILEMU</t>
  </si>
  <si>
    <r>
      <t>圣杰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尼莫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和葡萄酒有限公司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</si>
  <si>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</si>
  <si>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艺发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</si>
  <si>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粹行酒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</si>
  <si>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露酒; 黄酒; 食用酒精</t>
    </r>
  </si>
  <si>
    <t>盛事宋</t>
  </si>
  <si>
    <r>
      <t>北京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祖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</si>
  <si>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</si>
  <si>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鸥帅帅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</si>
  <si>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文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</si>
  <si>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</si>
  <si>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茗</t>
    </r>
    <r>
      <rPr>
        <sz val="11"/>
        <color theme="1"/>
        <rFont val="ＭＳ Ｐゴシック"/>
        <family val="3"/>
        <charset val="134"/>
        <scheme val="minor"/>
      </rPr>
      <t>储兰</t>
    </r>
    <r>
      <rPr>
        <sz val="11"/>
        <color theme="1"/>
        <rFont val="ＭＳ Ｐゴシック"/>
        <family val="3"/>
        <charset val="128"/>
        <scheme val="minor"/>
      </rPr>
      <t>花瓷</t>
    </r>
  </si>
  <si>
    <r>
      <t>山西二</t>
    </r>
    <r>
      <rPr>
        <sz val="11"/>
        <color theme="1"/>
        <rFont val="ＭＳ Ｐゴシック"/>
        <family val="3"/>
        <charset val="134"/>
        <scheme val="minor"/>
      </rPr>
      <t>锅头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</si>
  <si>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</t>
    </r>
  </si>
  <si>
    <t>FRIZZANTE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</si>
  <si>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伏特加酒;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加烈葡萄酒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</si>
  <si>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小丁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</si>
  <si>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立嵩</t>
    </r>
  </si>
  <si>
    <r>
      <t>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烈酒; 青稞酒; 高粱酒; 白酒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</si>
  <si>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如炎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</si>
  <si>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露酒; 黄酒; 高粱酒;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青稞酒; 清酒; 白干酒（中国白酒）; 白酒</t>
    </r>
  </si>
  <si>
    <r>
      <t>燕山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狐</t>
    </r>
  </si>
  <si>
    <r>
      <t>雪山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狐（北京）品牌管理有限公司</t>
    </r>
  </si>
  <si>
    <r>
      <t xml:space="preserve">黄酒;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</si>
  <si>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齐</t>
    </r>
    <r>
      <rPr>
        <sz val="11"/>
        <color theme="1"/>
        <rFont val="ＭＳ Ｐゴシック"/>
        <family val="3"/>
        <charset val="128"/>
        <scheme val="minor"/>
      </rPr>
      <t>煌橙</t>
    </r>
    <r>
      <rPr>
        <sz val="11"/>
        <color theme="1"/>
        <rFont val="ＭＳ Ｐゴシック"/>
        <family val="3"/>
        <charset val="134"/>
        <scheme val="minor"/>
      </rPr>
      <t>诺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</si>
  <si>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岛齐</t>
    </r>
    <r>
      <rPr>
        <sz val="11"/>
        <color theme="1"/>
        <rFont val="ＭＳ Ｐゴシック"/>
        <family val="3"/>
        <charset val="128"/>
        <scheme val="minor"/>
      </rPr>
      <t>煌</t>
    </r>
    <r>
      <rPr>
        <sz val="11"/>
        <color theme="1"/>
        <rFont val="ＭＳ Ｐゴシック"/>
        <family val="3"/>
        <charset val="134"/>
        <scheme val="minor"/>
      </rPr>
      <t>轻树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</si>
  <si>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甘蔗制烈酒; 米酒;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</si>
  <si>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间觅</t>
    </r>
  </si>
  <si>
    <t>云南高原葡萄酒有限公司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</si>
  <si>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白酒; 烈酒;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</si>
  <si>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龚</t>
    </r>
    <r>
      <rPr>
        <sz val="11"/>
        <color theme="1"/>
        <rFont val="ＭＳ Ｐゴシック"/>
        <family val="3"/>
        <charset val="128"/>
        <scheme val="minor"/>
      </rPr>
      <t>洲源</t>
    </r>
  </si>
  <si>
    <r>
      <t>平南</t>
    </r>
    <r>
      <rPr>
        <sz val="11"/>
        <color theme="1"/>
        <rFont val="ＭＳ Ｐゴシック"/>
        <family val="3"/>
        <charset val="134"/>
        <scheme val="minor"/>
      </rPr>
      <t>县鸿</t>
    </r>
    <r>
      <rPr>
        <sz val="11"/>
        <color theme="1"/>
        <rFont val="ＭＳ Ｐゴシック"/>
        <family val="3"/>
        <charset val="128"/>
        <scheme val="minor"/>
      </rPr>
      <t>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</si>
  <si>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果酒（含酒精）; 黄酒; 白酒; 露酒; 米酒; 青稞酒;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</si>
  <si>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爷</t>
    </r>
    <r>
      <rPr>
        <sz val="11"/>
        <color theme="1"/>
        <rFont val="ＭＳ Ｐゴシック"/>
        <family val="3"/>
        <charset val="128"/>
        <scheme val="minor"/>
      </rPr>
      <t>力横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</si>
  <si>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宁金豪客国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</si>
  <si>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果酒（含酒精）; 清酒（日本米酒）; 米酒; 蝮蛇酒;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露酒; 梨酒; 白酒;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</si>
  <si>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滋情脉</t>
  </si>
  <si>
    <r>
      <t>龙</t>
    </r>
    <r>
      <rPr>
        <sz val="11"/>
        <color theme="1"/>
        <rFont val="ＭＳ Ｐゴシック"/>
        <family val="3"/>
        <charset val="128"/>
        <scheme val="minor"/>
      </rPr>
      <t>川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姜融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生物科技中心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</si>
  <si>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果酒（含酒精）; 露酒; 米酒</t>
    </r>
  </si>
  <si>
    <t>碧春伍</t>
  </si>
  <si>
    <r>
      <t>杨</t>
    </r>
    <r>
      <rPr>
        <sz val="11"/>
        <color theme="1"/>
        <rFont val="ＭＳ Ｐゴシック"/>
        <family val="3"/>
        <charset val="128"/>
        <scheme val="minor"/>
      </rPr>
      <t>邱秀</t>
    </r>
  </si>
  <si>
    <r>
      <t xml:space="preserve">果酒（含酒精）; 白酒; 葡萄酒; 米酒;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高粱酒;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</si>
  <si>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天帝君</t>
  </si>
  <si>
    <r>
      <t>牛超</t>
    </r>
    <r>
      <rPr>
        <sz val="11"/>
        <color theme="1"/>
        <rFont val="ＭＳ Ｐゴシック"/>
        <family val="3"/>
        <charset val="134"/>
        <scheme val="minor"/>
      </rPr>
      <t>领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</si>
  <si>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黄酒; 清酒（日本米酒）;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威士忌</t>
    </r>
  </si>
  <si>
    <t>恒香十里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</si>
  <si>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果酒（含酒精）; 威士忌; 开胃酒; 白酒</t>
    </r>
  </si>
  <si>
    <t>北洵</t>
  </si>
  <si>
    <r>
      <t>果酒（含酒精）;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烈酒; 白干酒（中国白酒）; 米酒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</si>
  <si>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皇高祖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</si>
  <si>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州苗修堂医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</si>
  <si>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蜂蜜酒; 梨酒;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开胃酒;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黄酒</t>
    </r>
  </si>
  <si>
    <t>椰康鹿</t>
  </si>
  <si>
    <r>
      <t>河北衡湖</t>
    </r>
    <r>
      <rPr>
        <sz val="11"/>
        <color theme="1"/>
        <rFont val="ＭＳ Ｐゴシック"/>
        <family val="3"/>
        <charset val="134"/>
        <scheme val="minor"/>
      </rPr>
      <t>缘酿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</si>
  <si>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伏特加酒; 甜酒; 苹果酒; 葡萄酒; 黄酒; 烈酒; 果酒</t>
    </r>
  </si>
  <si>
    <r>
      <t>玉京</t>
    </r>
    <r>
      <rPr>
        <sz val="11"/>
        <color theme="1"/>
        <rFont val="ＭＳ Ｐゴシック"/>
        <family val="3"/>
        <charset val="134"/>
        <scheme val="minor"/>
      </rPr>
      <t>闻</t>
    </r>
    <r>
      <rPr>
        <sz val="11"/>
        <color theme="1"/>
        <rFont val="ＭＳ Ｐゴシック"/>
        <family val="3"/>
        <charset val="128"/>
        <scheme val="minor"/>
      </rPr>
      <t>道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</si>
  <si>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州遵懿酒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</si>
  <si>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清酒（日本米酒）; 汽酒; 米酒</t>
    </r>
  </si>
  <si>
    <t>熊礼礼</t>
  </si>
  <si>
    <r>
      <t>米酒; 黄酒; 葡萄酒; 白酒; 利口酒;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</si>
  <si>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双</t>
    </r>
    <r>
      <rPr>
        <sz val="11"/>
        <color theme="1"/>
        <rFont val="ＭＳ Ｐゴシック"/>
        <family val="3"/>
        <charset val="129"/>
        <scheme val="minor"/>
      </rPr>
      <t>泃</t>
    </r>
    <r>
      <rPr>
        <sz val="11"/>
        <color theme="1"/>
        <rFont val="ＭＳ Ｐゴシック"/>
        <family val="3"/>
        <charset val="128"/>
        <scheme val="minor"/>
      </rPr>
      <t>功</t>
    </r>
    <r>
      <rPr>
        <sz val="11"/>
        <color theme="1"/>
        <rFont val="ＭＳ Ｐゴシック"/>
        <family val="3"/>
        <charset val="134"/>
        <scheme val="minor"/>
      </rPr>
      <t>赢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</si>
  <si>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州台老大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</si>
  <si>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伏特加酒;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</si>
  <si>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将朋将友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</si>
  <si>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州黄金基酒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</si>
  <si>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</si>
  <si>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正帝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</si>
  <si>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开胃酒; 苹果酒; 黄酒; 蜂蜜酒; 梨酒;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</si>
  <si>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杯</t>
    </r>
    <r>
      <rPr>
        <sz val="11"/>
        <color theme="1"/>
        <rFont val="ＭＳ Ｐゴシック"/>
        <family val="3"/>
        <charset val="134"/>
        <scheme val="minor"/>
      </rPr>
      <t>浔</t>
    </r>
  </si>
  <si>
    <t>刘永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</si>
  <si>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蒸煮提取物（利口酒和烈酒）; 食用酒精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</si>
  <si>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粮翁</t>
    </r>
  </si>
  <si>
    <t>凡元秀</t>
  </si>
  <si>
    <r>
      <t>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食用酒精; 葡萄酒;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</si>
  <si>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钓</t>
    </r>
    <r>
      <rPr>
        <sz val="11"/>
        <color theme="1"/>
        <rFont val="ＭＳ Ｐゴシック"/>
        <family val="3"/>
        <charset val="128"/>
        <scheme val="minor"/>
      </rPr>
      <t>粮辰</t>
    </r>
  </si>
  <si>
    <r>
      <t>谷城</t>
    </r>
    <r>
      <rPr>
        <sz val="11"/>
        <color theme="1"/>
        <rFont val="ＭＳ Ｐゴシック"/>
        <family val="3"/>
        <charset val="134"/>
        <scheme val="minor"/>
      </rPr>
      <t>县缘</t>
    </r>
    <r>
      <rPr>
        <sz val="11"/>
        <color theme="1"/>
        <rFont val="ＭＳ Ｐゴシック"/>
        <family val="3"/>
        <charset val="128"/>
        <scheme val="minor"/>
      </rPr>
      <t>希君商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店(个体工商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</si>
  <si>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葡萄酒; 食用酒精;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蒸煮提取物（利口酒和烈酒）</t>
    </r>
  </si>
  <si>
    <t>KUEI TS'UI</t>
  </si>
  <si>
    <r>
      <t>广西桂粹酒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</si>
  <si>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利口酒;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</si>
  <si>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觉华</t>
    </r>
    <r>
      <rPr>
        <sz val="11"/>
        <color theme="1"/>
        <rFont val="ＭＳ Ｐゴシック"/>
        <family val="3"/>
        <charset val="128"/>
        <scheme val="minor"/>
      </rPr>
      <t>烟雨</t>
    </r>
  </si>
  <si>
    <t>吴宝城</t>
  </si>
  <si>
    <r>
      <t>白酒; 葡萄酒; 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</si>
  <si>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玖粤拾韵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</si>
  <si>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粤韵文化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</si>
  <si>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</si>
  <si>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中</t>
    </r>
    <r>
      <rPr>
        <sz val="11"/>
        <color theme="1"/>
        <rFont val="ＭＳ Ｐゴシック"/>
        <family val="3"/>
        <charset val="134"/>
        <scheme val="minor"/>
      </rPr>
      <t>钢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</si>
  <si>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</si>
  <si>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r>
      <t>腾</t>
    </r>
    <r>
      <rPr>
        <sz val="11"/>
        <color theme="1"/>
        <rFont val="ＭＳ Ｐゴシック"/>
        <family val="3"/>
        <charset val="128"/>
        <scheme val="minor"/>
      </rPr>
      <t>趣</t>
    </r>
  </si>
  <si>
    <r>
      <t>福建省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>趣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</si>
  <si>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</si>
  <si>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碧窖</t>
    </r>
    <r>
      <rPr>
        <sz val="11"/>
        <color theme="1"/>
        <rFont val="ＭＳ Ｐゴシック"/>
        <family val="3"/>
        <charset val="134"/>
        <scheme val="minor"/>
      </rPr>
      <t>浔</t>
    </r>
  </si>
  <si>
    <r>
      <t>米酒;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蒸煮提取物（利口酒和烈酒）; 葡萄酒; 食用酒精</t>
    </r>
  </si>
  <si>
    <t>器藏于身</t>
  </si>
  <si>
    <r>
      <t>东营</t>
    </r>
    <r>
      <rPr>
        <sz val="11"/>
        <color theme="1"/>
        <rFont val="ＭＳ Ｐゴシック"/>
        <family val="3"/>
        <charset val="128"/>
        <scheme val="minor"/>
      </rPr>
      <t>元晨商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</si>
  <si>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黄酒;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</si>
  <si>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谷窖樽</t>
  </si>
  <si>
    <t>邱健文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</si>
  <si>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食用酒精</t>
    </r>
  </si>
  <si>
    <t>潭月影</t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</si>
  <si>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</si>
  <si>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越山海</t>
  </si>
  <si>
    <t>李洪早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</si>
  <si>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果酒; 烈酒;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</t>
    </r>
  </si>
  <si>
    <t>安通</t>
  </si>
  <si>
    <r>
      <t>白酒;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</si>
  <si>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石景</t>
    </r>
  </si>
  <si>
    <r>
      <t xml:space="preserve">白酒; 清酒; 葡萄酒; 开胃酒; 果酒（含酒精）;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</si>
  <si>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黔王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</si>
  <si>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蜂蜜酒; 清酒（日本米酒）;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黄酒</t>
    </r>
  </si>
  <si>
    <t>益佳谷道</t>
  </si>
  <si>
    <t>安景春</t>
  </si>
  <si>
    <r>
      <t>葡萄酒; 威士忌;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汽酒</t>
    </r>
  </si>
  <si>
    <r>
      <t>祁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</si>
  <si>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汽酒; 黄酒; 果酒; 葡萄酒; 白干酒（中国白酒）; 佐餐酒;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</si>
  <si>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德秀公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</si>
  <si>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松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</si>
  <si>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</si>
  <si>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梦</t>
    </r>
    <r>
      <rPr>
        <sz val="11"/>
        <color theme="1"/>
        <rFont val="ＭＳ Ｐゴシック"/>
        <family val="3"/>
        <charset val="134"/>
        <scheme val="minor"/>
      </rPr>
      <t>圆</t>
    </r>
  </si>
  <si>
    <r>
      <t>刘大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</si>
  <si>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果酒（含酒精）; 高粱酒; 蒸煮提取物（利口酒和烈酒）; 开胃酒</t>
    </r>
  </si>
  <si>
    <r>
      <t>御酒</t>
    </r>
    <r>
      <rPr>
        <sz val="11"/>
        <color theme="1"/>
        <rFont val="ＭＳ Ｐゴシック"/>
        <family val="3"/>
        <charset val="134"/>
        <scheme val="minor"/>
      </rPr>
      <t>凤龙缘</t>
    </r>
  </si>
  <si>
    <r>
      <t>一两黄御酒（河南）酒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</si>
  <si>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梨酒; 梅酒;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葡萄酒; 草莓酒</t>
    </r>
  </si>
  <si>
    <t>黔王仁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</si>
  <si>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蜂蜜酒; 清酒（日本米酒）; 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</si>
  <si>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t>溯野</t>
  </si>
  <si>
    <t>云南溯野生物科技有限公司</t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</si>
  <si>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青稞酒; 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</si>
  <si>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云垚</t>
  </si>
  <si>
    <r>
      <t>保定市福熹商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</si>
  <si>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伏特加酒</t>
    </r>
  </si>
  <si>
    <t>奥芝音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</si>
  <si>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美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</si>
  <si>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</si>
  <si>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丰粒羽</t>
  </si>
  <si>
    <r>
      <t>崔迪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</si>
  <si>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果酒（含酒精）; 开胃酒; 葡萄酒; 蜂蜜酒;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伏特加酒;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</si>
  <si>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SHU TAI JIU ZHUANG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</si>
  <si>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州蜀台酒庄有限公司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</si>
  <si>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草莓酒;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青稞酒; 黄酒;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</si>
  <si>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酣溢</t>
  </si>
  <si>
    <r>
      <t>范小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</si>
  <si>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米酒; 高粱酒;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</si>
  <si>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庄</t>
    </r>
    <r>
      <rPr>
        <sz val="11"/>
        <color theme="1"/>
        <rFont val="ＭＳ Ｐゴシック"/>
        <family val="3"/>
        <charset val="134"/>
        <scheme val="minor"/>
      </rPr>
      <t>严</t>
    </r>
    <r>
      <rPr>
        <sz val="11"/>
        <color theme="1"/>
        <rFont val="ＭＳ Ｐゴシック"/>
        <family val="3"/>
        <charset val="128"/>
        <scheme val="minor"/>
      </rPr>
      <t>春秋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</si>
  <si>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坤</t>
    </r>
  </si>
  <si>
    <r>
      <t>开胃酒; 白酒; 葡萄酒; 米酒; 茴香酒;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苦味酒;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</si>
  <si>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正永初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</si>
  <si>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高粱酒; 白干酒（中国白酒）; 烈酒; 露酒</t>
    </r>
  </si>
  <si>
    <t>巢江春</t>
  </si>
  <si>
    <r>
      <t>张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</si>
  <si>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白酒;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</t>
    </r>
  </si>
  <si>
    <r>
      <t>野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村</t>
    </r>
  </si>
  <si>
    <r>
      <t>安徽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翻天广告有限公司</t>
    </r>
  </si>
  <si>
    <r>
      <t xml:space="preserve">白酒; 米酒; 威士忌; 清酒; 果酒（含酒精）; 葡萄酒;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</si>
  <si>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小多</t>
    </r>
  </si>
  <si>
    <r>
      <t xml:space="preserve">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高粱酒; 米酒</t>
    </r>
  </si>
  <si>
    <t>WEDDINGZOLA</t>
  </si>
  <si>
    <t>江璐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</si>
  <si>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黄酒;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</si>
  <si>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席林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</si>
  <si>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米酒;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</si>
  <si>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郁郁菁香</t>
  </si>
  <si>
    <r>
      <t>苏</t>
    </r>
    <r>
      <rPr>
        <sz val="11"/>
        <color theme="1"/>
        <rFont val="ＭＳ Ｐゴシック"/>
        <family val="3"/>
        <charset val="128"/>
        <scheme val="minor"/>
      </rPr>
      <t>吉平</t>
    </r>
  </si>
  <si>
    <r>
      <t>果酒（含酒精）; 葡萄酒; 白酒; 青稞酒; 蜂蜜酒;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餐后酒（利口酒和烈酒）;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</si>
  <si>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榄</t>
    </r>
    <r>
      <rPr>
        <sz val="11"/>
        <color theme="1"/>
        <rFont val="ＭＳ Ｐゴシック"/>
        <family val="3"/>
        <charset val="128"/>
        <scheme val="minor"/>
      </rPr>
      <t>香山堂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</si>
  <si>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清酒; 烈酒; 露酒; 白干酒（中国白酒）;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佐餐酒</t>
    </r>
  </si>
  <si>
    <t>播城古窖</t>
  </si>
  <si>
    <r>
      <t>果酒（含酒精）;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</si>
  <si>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HEYBETTER</t>
  </si>
  <si>
    <r>
      <t>上海豪</t>
    </r>
    <r>
      <rPr>
        <sz val="11"/>
        <color theme="1"/>
        <rFont val="ＭＳ Ｐゴシック"/>
        <family val="3"/>
        <charset val="134"/>
        <scheme val="minor"/>
      </rPr>
      <t>贝电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</si>
  <si>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清酒（日本米酒）; 威士忌; 茴香酒（利口酒）;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</si>
  <si>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觅</t>
    </r>
    <r>
      <rPr>
        <sz val="11"/>
        <color theme="1"/>
        <rFont val="ＭＳ Ｐゴシック"/>
        <family val="3"/>
        <charset val="128"/>
        <scheme val="minor"/>
      </rPr>
      <t>山集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</si>
  <si>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萍</t>
    </r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</si>
  <si>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</si>
  <si>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吉</t>
    </r>
    <r>
      <rPr>
        <sz val="11"/>
        <color theme="1"/>
        <rFont val="ＭＳ Ｐゴシック"/>
        <family val="3"/>
        <charset val="134"/>
        <scheme val="minor"/>
      </rPr>
      <t>骦</t>
    </r>
  </si>
  <si>
    <r>
      <t>西</t>
    </r>
    <r>
      <rPr>
        <sz val="11"/>
        <color theme="1"/>
        <rFont val="ＭＳ Ｐゴシック"/>
        <family val="3"/>
        <charset val="134"/>
        <scheme val="minor"/>
      </rPr>
      <t>乌</t>
    </r>
    <r>
      <rPr>
        <sz val="11"/>
        <color theme="1"/>
        <rFont val="ＭＳ Ｐゴシック"/>
        <family val="3"/>
        <charset val="128"/>
        <scheme val="minor"/>
      </rPr>
      <t>珠穆沁旗</t>
    </r>
    <r>
      <rPr>
        <sz val="11"/>
        <color theme="1"/>
        <rFont val="ＭＳ Ｐゴシック"/>
        <family val="3"/>
        <charset val="134"/>
        <scheme val="minor"/>
      </rPr>
      <t>乌兰</t>
    </r>
    <r>
      <rPr>
        <sz val="11"/>
        <color theme="1"/>
        <rFont val="ＭＳ Ｐゴシック"/>
        <family val="3"/>
        <charset val="128"/>
        <scheme val="minor"/>
      </rPr>
      <t>高娃食品有限公司</t>
    </r>
  </si>
  <si>
    <r>
      <t xml:space="preserve">果酒（含酒精）;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白酒; 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黄酒</t>
    </r>
  </si>
  <si>
    <r>
      <t>义</t>
    </r>
    <r>
      <rPr>
        <sz val="11"/>
        <color theme="1"/>
        <rFont val="ＭＳ Ｐゴシック"/>
        <family val="3"/>
        <charset val="128"/>
        <scheme val="minor"/>
      </rPr>
      <t>待人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</si>
  <si>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申前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</si>
  <si>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五加皮酒（中国混合烈酒）; 烈性干酒;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蒸煮提取物（利口酒和烈酒）; 烈酒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</si>
  <si>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太守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</si>
  <si>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惠真</t>
    </r>
  </si>
  <si>
    <r>
      <t>梅酒; 汽酒; 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米酒; 草莓酒; 葡萄酒; 蜂蜜酒; 白酒</t>
    </r>
  </si>
  <si>
    <t>孚林世家</t>
  </si>
  <si>
    <r>
      <t>西安孚林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邦信息科技有限公司</t>
    </r>
  </si>
  <si>
    <r>
      <t>清酒（日本米酒）; 威士忌; 米酒;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白酒; 果酒（含酒精）; 葡萄酒; 伏特加酒</t>
    </r>
  </si>
  <si>
    <r>
      <t>纤</t>
    </r>
    <r>
      <rPr>
        <sz val="11"/>
        <color theme="1"/>
        <rFont val="ＭＳ Ｐゴシック"/>
        <family val="3"/>
        <charset val="128"/>
        <scheme val="minor"/>
      </rPr>
      <t>小主</t>
    </r>
  </si>
  <si>
    <r>
      <t>福建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野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</si>
  <si>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水果汽酒; 黄酒; 葡萄酒; 青稞酒; 白酒;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烈酒;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</si>
  <si>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羽多同康</t>
  </si>
  <si>
    <r>
      <t>江西康玉</t>
    </r>
    <r>
      <rPr>
        <sz val="11"/>
        <color theme="1"/>
        <rFont val="ＭＳ Ｐゴシック"/>
        <family val="3"/>
        <charset val="134"/>
        <scheme val="minor"/>
      </rPr>
      <t>齐药业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</si>
  <si>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米酒; 佐餐酒;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</si>
  <si>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廊台</t>
    </r>
  </si>
  <si>
    <r>
      <t>成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</si>
  <si>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果酒（含酒精）; 食用酒精; 葡萄酒; 米酒; 黄酒</t>
    </r>
  </si>
  <si>
    <t>CHATEAU ROCHER BELLEVUE</t>
  </si>
  <si>
    <r>
      <t>缃</t>
    </r>
    <r>
      <rPr>
        <sz val="11"/>
        <color theme="1"/>
        <rFont val="ＭＳ Ｐゴシック"/>
        <family val="3"/>
        <charset val="128"/>
        <scheme val="minor"/>
      </rPr>
      <t>叶夏</t>
    </r>
  </si>
  <si>
    <r>
      <t>巽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科技（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</si>
  <si>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黄酒; 食用酒精</t>
    </r>
  </si>
  <si>
    <r>
      <t>杯</t>
    </r>
    <r>
      <rPr>
        <sz val="11"/>
        <color theme="1"/>
        <rFont val="ＭＳ Ｐゴシック"/>
        <family val="3"/>
        <charset val="134"/>
        <scheme val="minor"/>
      </rPr>
      <t>爷</t>
    </r>
  </si>
  <si>
    <t>曾修付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</si>
  <si>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苹果酒; 葡萄酒; 白干酒（中国白酒）; 梨酒;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</si>
  <si>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普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名</t>
    </r>
  </si>
  <si>
    <r>
      <t>唐山会静商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</si>
  <si>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食用酒精; 白酒; 果酒; 葡萄酒;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</si>
  <si>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蔬大</t>
    </r>
    <r>
      <rPr>
        <sz val="11"/>
        <color theme="1"/>
        <rFont val="ＭＳ Ｐゴシック"/>
        <family val="3"/>
        <charset val="134"/>
        <scheme val="minor"/>
      </rPr>
      <t>帅</t>
    </r>
  </si>
  <si>
    <r>
      <t>上海海众网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</si>
  <si>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杜松子酒;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</t>
    </r>
  </si>
  <si>
    <t>杜八戒</t>
  </si>
  <si>
    <t>李杜升******************</t>
  </si>
  <si>
    <r>
      <t>葡萄酒;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清酒（日本米酒）</t>
    </r>
  </si>
  <si>
    <r>
      <t>大博米</t>
    </r>
    <r>
      <rPr>
        <sz val="11"/>
        <color theme="1"/>
        <rFont val="ＭＳ Ｐゴシック"/>
        <family val="3"/>
        <charset val="134"/>
        <scheme val="minor"/>
      </rPr>
      <t>诺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</si>
  <si>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州糖宝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出口有限公司</t>
    </r>
  </si>
  <si>
    <r>
      <t>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果酒（含酒精）; 葡萄酒; 葡萄潘趣酒; 葡萄汽酒;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不起泡葡萄酒;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加烈葡萄酒; 白葡萄酒</t>
    </r>
  </si>
  <si>
    <r>
      <t>净</t>
    </r>
    <r>
      <rPr>
        <sz val="11"/>
        <color theme="1"/>
        <rFont val="ＭＳ Ｐゴシック"/>
        <family val="3"/>
        <charset val="128"/>
        <scheme val="minor"/>
      </rPr>
      <t>雨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</si>
  <si>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汪明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</si>
  <si>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果酒（含酒精）; 葡萄酒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</si>
  <si>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盈夏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</si>
  <si>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海媚</t>
    </r>
  </si>
  <si>
    <r>
      <t xml:space="preserve">白酒; 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甜酒; 青梅酒; 烈酒</t>
    </r>
  </si>
  <si>
    <t>BVINEAM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</si>
  <si>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果酒（含酒精）; 白酒; 清酒; 葡萄酒; 威士忌</t>
    </r>
  </si>
  <si>
    <t>沁渠</t>
  </si>
  <si>
    <r>
      <t xml:space="preserve">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</si>
  <si>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田田木木儿</t>
  </si>
  <si>
    <r>
      <t>会理金沙</t>
    </r>
    <r>
      <rPr>
        <sz val="11"/>
        <color theme="1"/>
        <rFont val="ＭＳ Ｐゴシック"/>
        <family val="3"/>
        <charset val="134"/>
        <scheme val="minor"/>
      </rPr>
      <t>鸿农业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</si>
  <si>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葡萄酒; 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白酒; 高粱酒; 蜂蜜酒</t>
    </r>
  </si>
  <si>
    <r>
      <t>祝各</t>
    </r>
    <r>
      <rPr>
        <sz val="11"/>
        <color theme="1"/>
        <rFont val="ＭＳ Ｐゴシック"/>
        <family val="3"/>
        <charset val="134"/>
        <scheme val="minor"/>
      </rPr>
      <t>靓</t>
    </r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</si>
  <si>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起泡白葡萄酒;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</si>
  <si>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WOOFANSER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</si>
  <si>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物</t>
    </r>
    <r>
      <rPr>
        <sz val="11"/>
        <color theme="1"/>
        <rFont val="ＭＳ Ｐゴシック"/>
        <family val="3"/>
        <charset val="134"/>
        <scheme val="minor"/>
      </rPr>
      <t>饭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</si>
  <si>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果酒（含酒精）; 食用酒精; 果酒; 茴香酒; 烈酒; 米酒</t>
    </r>
  </si>
  <si>
    <r>
      <t>戍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</si>
  <si>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</si>
  <si>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来福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运当</t>
    </r>
    <r>
      <rPr>
        <sz val="11"/>
        <color theme="1"/>
        <rFont val="ＭＳ Ｐゴシック"/>
        <family val="3"/>
        <charset val="134"/>
        <scheme val="minor"/>
      </rPr>
      <t>头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</si>
  <si>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东润</t>
    </r>
    <r>
      <rPr>
        <sz val="11"/>
        <color theme="1"/>
        <rFont val="ＭＳ Ｐゴシック"/>
        <family val="3"/>
        <charset val="128"/>
        <scheme val="minor"/>
      </rPr>
      <t>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</si>
  <si>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</t>
    </r>
  </si>
  <si>
    <t>天塞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</si>
  <si>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伏特加酒; 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</si>
  <si>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羿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</si>
  <si>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白酒; 甜果酒;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起泡白葡萄酒;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</si>
  <si>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醉仁大美</t>
  </si>
  <si>
    <r>
      <t>云南醉仁大美酒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</si>
  <si>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黄酒; 烈酒; 米酒; 葡萄酒; 高粱酒;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</si>
  <si>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卡迪克斯</t>
  </si>
  <si>
    <r>
      <t>珠海科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克供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</si>
  <si>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清酒（日本米酒）</t>
    </r>
  </si>
  <si>
    <r>
      <t>闻</t>
    </r>
    <r>
      <rPr>
        <sz val="11"/>
        <color theme="1"/>
        <rFont val="ＭＳ Ｐゴシック"/>
        <family val="3"/>
        <charset val="128"/>
        <scheme val="minor"/>
      </rPr>
      <t>九天寿酒</t>
    </r>
  </si>
  <si>
    <t>果酒（含酒精）; 开胃酒; 白酒; 葡萄酒; 黄酒; 清酒（日本米酒）; 威士忌; 米酒; 伏特加酒; 蜂蜜酒</t>
  </si>
  <si>
    <r>
      <t>米拉</t>
    </r>
    <r>
      <rPr>
        <sz val="11"/>
        <color theme="1"/>
        <rFont val="ＭＳ Ｐゴシック"/>
        <family val="3"/>
        <charset val="129"/>
        <scheme val="minor"/>
      </rPr>
      <t>婓</t>
    </r>
    <r>
      <rPr>
        <sz val="11"/>
        <color theme="1"/>
        <rFont val="ＭＳ Ｐゴシック"/>
        <family val="3"/>
        <charset val="128"/>
        <scheme val="minor"/>
      </rPr>
      <t>欧瑞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</si>
  <si>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正群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</si>
  <si>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餐后酒（利口酒和烈酒）;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</t>
    </r>
  </si>
  <si>
    <r>
      <t>商道密</t>
    </r>
    <r>
      <rPr>
        <sz val="11"/>
        <color theme="1"/>
        <rFont val="ＭＳ Ｐゴシック"/>
        <family val="3"/>
        <charset val="134"/>
        <scheme val="minor"/>
      </rPr>
      <t>码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</si>
  <si>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西拓界兄弟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</si>
  <si>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米酒; 白酒; 高粱酒;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</t>
    </r>
  </si>
  <si>
    <r>
      <t>大粮</t>
    </r>
    <r>
      <rPr>
        <sz val="11"/>
        <color theme="1"/>
        <rFont val="ＭＳ Ｐゴシック"/>
        <family val="3"/>
        <charset val="134"/>
        <scheme val="minor"/>
      </rPr>
      <t>浔</t>
    </r>
  </si>
  <si>
    <r>
      <t>白酒; 蒸煮提取物（利口酒和烈酒）; 葡萄酒;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</si>
  <si>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御粮</t>
    </r>
  </si>
  <si>
    <r>
      <t>食用酒精;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</si>
  <si>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CHATEAU DE MONSEGUR</t>
  </si>
  <si>
    <r>
      <t>熙庄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</si>
  <si>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江熙莊</t>
    </r>
    <r>
      <rPr>
        <sz val="11"/>
        <color theme="1"/>
        <rFont val="ＭＳ Ｐゴシック"/>
        <family val="3"/>
        <charset val="134"/>
        <scheme val="minor"/>
      </rPr>
      <t>荟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</si>
  <si>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汽酒;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梨酒; 米酒; 苹果酒</t>
    </r>
  </si>
  <si>
    <t>我嘉臻酒</t>
  </si>
  <si>
    <r>
      <t>上海翔美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</si>
  <si>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蜂蜜酒; 白酒; 威士忌; 汽酒; 青稞酒; 黄酒; 清酒（日本米酒）</t>
    </r>
  </si>
  <si>
    <t>裕正原</t>
  </si>
  <si>
    <t>刘晴</t>
  </si>
  <si>
    <r>
      <t xml:space="preserve">汽酒; 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</si>
  <si>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悠酷</t>
  </si>
  <si>
    <r>
      <t>王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香</t>
    </r>
  </si>
  <si>
    <t>开胃酒; 果酒; 汽酒; 清酒; 黄酒; 白酒; 米酒; 葡萄酒; 食用酒精; 甜酒</t>
  </si>
  <si>
    <t>南山富喜</t>
  </si>
  <si>
    <r>
      <t>南山集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</si>
  <si>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伏特加酒; 白酒; 汽酒; 青稞酒; 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</si>
  <si>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黔荣幸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</si>
  <si>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州黔荣幸酒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</si>
  <si>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</si>
  <si>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衡匠基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</si>
  <si>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</t>
    </r>
  </si>
  <si>
    <r>
      <t>徐易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</si>
  <si>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上海易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亭文化科技有限公司</t>
    </r>
  </si>
  <si>
    <r>
      <t xml:space="preserve">薄荷酒;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青稞酒; 黄酒; 清酒（日本米酒）</t>
    </r>
  </si>
  <si>
    <r>
      <t>汉兴</t>
    </r>
    <r>
      <rPr>
        <sz val="11"/>
        <color theme="1"/>
        <rFont val="ＭＳ Ｐゴシック"/>
        <family val="3"/>
        <charset val="128"/>
        <scheme val="minor"/>
      </rPr>
      <t>荣</t>
    </r>
  </si>
  <si>
    <t>肖殿美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</si>
  <si>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黄酒; 汽酒; 白酒;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清酒</t>
    </r>
  </si>
  <si>
    <t>靳老哲</t>
  </si>
  <si>
    <r>
      <t>石家庄紫竹林文化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</si>
  <si>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果酒（含酒精）; 烈酒; 苹果酒;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</si>
  <si>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京泰成</t>
  </si>
  <si>
    <r>
      <t>北京厚德八方文化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</si>
  <si>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露酒; 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</si>
  <si>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映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</si>
  <si>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白干酒（中国白酒）</t>
    </r>
  </si>
  <si>
    <r>
      <t>谭</t>
    </r>
    <r>
      <rPr>
        <sz val="11"/>
        <color theme="1"/>
        <rFont val="ＭＳ Ｐゴシック"/>
        <family val="3"/>
        <charset val="128"/>
        <scheme val="minor"/>
      </rPr>
      <t>九天</t>
    </r>
  </si>
  <si>
    <r>
      <t>谭</t>
    </r>
    <r>
      <rPr>
        <sz val="11"/>
        <color theme="1"/>
        <rFont val="ＭＳ Ｐゴシック"/>
        <family val="3"/>
        <charset val="128"/>
        <scheme val="minor"/>
      </rPr>
      <t>花灵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</si>
  <si>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</t>
    </r>
  </si>
  <si>
    <t>至樽世佳</t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</si>
  <si>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黄酒; 清酒（日本米酒）</t>
    </r>
  </si>
  <si>
    <r>
      <t>小溪</t>
    </r>
    <r>
      <rPr>
        <sz val="11"/>
        <color theme="1"/>
        <rFont val="ＭＳ Ｐゴシック"/>
        <family val="3"/>
        <charset val="134"/>
        <scheme val="minor"/>
      </rPr>
      <t>盏</t>
    </r>
  </si>
  <si>
    <r>
      <t>湖南小溪地餐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</si>
  <si>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食用酒精; 薄荷酒; 果酒（含酒精）; 苦味酒;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</si>
  <si>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耘瑧晶粹</t>
  </si>
  <si>
    <r>
      <t>耘生</t>
    </r>
    <r>
      <rPr>
        <sz val="11"/>
        <color theme="1"/>
        <rFont val="ＭＳ Ｐゴシック"/>
        <family val="3"/>
        <charset val="134"/>
        <scheme val="minor"/>
      </rPr>
      <t>肽</t>
    </r>
    <r>
      <rPr>
        <sz val="11"/>
        <color theme="1"/>
        <rFont val="ＭＳ Ｐゴシック"/>
        <family val="3"/>
        <charset val="128"/>
        <scheme val="minor"/>
      </rPr>
      <t>（杭州）科技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</si>
  <si>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汽酒; 果酒（含酒精）; 苦味酒;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蜂蜜酒</t>
    </r>
  </si>
  <si>
    <t>世君泉</t>
  </si>
  <si>
    <r>
      <t xml:space="preserve">米酒; 果酒（含酒精）; 葡萄酒;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</si>
  <si>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匠老九</t>
  </si>
  <si>
    <r>
      <t>廊坊市匠老九酒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</si>
  <si>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食用酒精; 白酒; 开胃酒; 蜂蜜酒; 米酒; 伏特加酒;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</si>
  <si>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旺仙谷</t>
  </si>
  <si>
    <t>杭州康源品牌管理有限公司</t>
  </si>
  <si>
    <r>
      <t>果酒;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</si>
  <si>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小菇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</si>
  <si>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扣能源科技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</si>
  <si>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果酒; 开胃酒; 白酒</t>
    </r>
  </si>
  <si>
    <t>晋粱井</t>
  </si>
  <si>
    <r>
      <t xml:space="preserve">食用酒精;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</si>
  <si>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玛</t>
    </r>
    <r>
      <rPr>
        <sz val="11"/>
        <color theme="1"/>
        <rFont val="ＭＳ Ｐゴシック"/>
        <family val="3"/>
        <charset val="128"/>
        <scheme val="minor"/>
      </rPr>
      <t>昂仕</t>
    </r>
  </si>
  <si>
    <t>滕晟</t>
  </si>
  <si>
    <r>
      <t xml:space="preserve">白酒;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苹果酒;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</t>
    </r>
  </si>
  <si>
    <r>
      <t>朝樽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</si>
  <si>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</si>
  <si>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硕</t>
    </r>
    <r>
      <rPr>
        <sz val="11"/>
        <color theme="1"/>
        <rFont val="ＭＳ Ｐゴシック"/>
        <family val="3"/>
        <charset val="128"/>
        <scheme val="minor"/>
      </rPr>
      <t>寅</t>
    </r>
  </si>
  <si>
    <r>
      <t>新疆泰佰</t>
    </r>
    <r>
      <rPr>
        <sz val="11"/>
        <color theme="1"/>
        <rFont val="ＭＳ Ｐゴシック"/>
        <family val="3"/>
        <charset val="134"/>
        <scheme val="minor"/>
      </rPr>
      <t>鸿图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</si>
  <si>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蜂蜜酒;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</si>
  <si>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鹊</t>
    </r>
    <r>
      <rPr>
        <sz val="11"/>
        <color theme="1"/>
        <rFont val="ＭＳ Ｐゴシック"/>
        <family val="3"/>
        <charset val="128"/>
        <scheme val="minor"/>
      </rPr>
      <t>很忙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</si>
  <si>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</t>
    </r>
    <r>
      <rPr>
        <sz val="11"/>
        <color theme="1"/>
        <rFont val="ＭＳ Ｐゴシック"/>
        <family val="3"/>
        <charset val="134"/>
        <scheme val="minor"/>
      </rPr>
      <t>钱为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</si>
  <si>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果酒（含酒精）; 苦味酒;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白酒; 米酒</t>
    </r>
  </si>
  <si>
    <t>上榜叙</t>
  </si>
  <si>
    <r>
      <t>临</t>
    </r>
    <r>
      <rPr>
        <sz val="11"/>
        <color theme="1"/>
        <rFont val="ＭＳ Ｐゴシック"/>
        <family val="3"/>
        <charset val="128"/>
        <scheme val="minor"/>
      </rPr>
      <t>汾名品世嘉商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</si>
  <si>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</si>
  <si>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居崖</t>
    </r>
  </si>
  <si>
    <r>
      <t>湖南祖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岭生物科技有限公司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</si>
  <si>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清酒（日本米酒）; 米酒; 蜂蜜酒;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</si>
  <si>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七十二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</si>
  <si>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世台酒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</si>
  <si>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白葡萄酒;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蜂蜜酒</t>
    </r>
  </si>
  <si>
    <t>悠全球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</si>
  <si>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江高歌种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</si>
  <si>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葡萄酒;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</si>
  <si>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永恒丰</t>
  </si>
  <si>
    <t>苏焕龙</t>
  </si>
  <si>
    <r>
      <t>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</si>
  <si>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鉴</t>
    </r>
    <r>
      <rPr>
        <sz val="11"/>
        <color theme="1"/>
        <rFont val="ＭＳ Ｐゴシック"/>
        <family val="3"/>
        <charset val="128"/>
        <scheme val="minor"/>
      </rPr>
      <t>匠仁</t>
    </r>
  </si>
  <si>
    <r>
      <t xml:space="preserve">葡萄酒;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</si>
  <si>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正</t>
    </r>
    <r>
      <rPr>
        <sz val="11"/>
        <color theme="1"/>
        <rFont val="ＭＳ Ｐゴシック"/>
        <family val="3"/>
        <charset val="134"/>
        <scheme val="minor"/>
      </rPr>
      <t>玮</t>
    </r>
  </si>
  <si>
    <r>
      <t>严</t>
    </r>
    <r>
      <rPr>
        <sz val="11"/>
        <color theme="1"/>
        <rFont val="ＭＳ Ｐゴシック"/>
        <family val="3"/>
        <charset val="128"/>
        <scheme val="minor"/>
      </rPr>
      <t>正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</si>
  <si>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黄酒; 米酒</t>
    </r>
  </si>
  <si>
    <t>杏清溪</t>
  </si>
  <si>
    <r>
      <t>山西鑫源旺酒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</si>
  <si>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青稞酒; 米酒</t>
    </r>
  </si>
  <si>
    <r>
      <t>煋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</si>
  <si>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金多多生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</si>
  <si>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</si>
  <si>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名匠光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</si>
  <si>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白酒; 果酒; 葡萄酒; 黄酒; 汽酒;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</si>
  <si>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海上青年</t>
  </si>
  <si>
    <r>
      <t>亳州市九之云酒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</si>
  <si>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开胃酒; 汽酒; 清酒;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黄酒</t>
    </r>
  </si>
  <si>
    <t>豫臻园</t>
  </si>
  <si>
    <r>
      <t>河南豫臻园健康食品开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</si>
  <si>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</t>
    </r>
  </si>
  <si>
    <t>耕熟岭</t>
  </si>
  <si>
    <r>
      <t>炎陵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升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</si>
  <si>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梨酒; 白干酒（中国白酒）; 食用酒精</t>
    </r>
  </si>
  <si>
    <t>酒小酉</t>
  </si>
  <si>
    <t>宋令君</t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</si>
  <si>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开胃酒; 清酒（日本米酒）; 米酒; 威士忌</t>
    </r>
  </si>
  <si>
    <t>米小悠</t>
  </si>
  <si>
    <r>
      <t>黄</t>
    </r>
    <r>
      <rPr>
        <sz val="11"/>
        <color theme="1"/>
        <rFont val="ＭＳ Ｐゴシック"/>
        <family val="3"/>
        <charset val="134"/>
        <scheme val="minor"/>
      </rPr>
      <t>维钦</t>
    </r>
  </si>
  <si>
    <t>迷莉睿</t>
  </si>
  <si>
    <r>
      <t>吉喜福酒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（北京）有限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</si>
  <si>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川</t>
    </r>
    <r>
      <rPr>
        <sz val="11"/>
        <color theme="1"/>
        <rFont val="ＭＳ Ｐゴシック"/>
        <family val="3"/>
        <charset val="134"/>
        <scheme val="minor"/>
      </rPr>
      <t>蔺</t>
    </r>
    <r>
      <rPr>
        <sz val="11"/>
        <color theme="1"/>
        <rFont val="ＭＳ Ｐゴシック"/>
        <family val="3"/>
        <charset val="128"/>
        <scheme val="minor"/>
      </rPr>
      <t>古</t>
    </r>
    <r>
      <rPr>
        <sz val="11"/>
        <color theme="1"/>
        <rFont val="ＭＳ Ｐゴシック"/>
        <family val="3"/>
        <charset val="129"/>
        <scheme val="minor"/>
      </rPr>
      <t>优</t>
    </r>
  </si>
  <si>
    <r>
      <t xml:space="preserve">白酒; 米酒; 葡萄酒;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茴香酒（利口酒）; 梨酒;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</si>
  <si>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川</t>
    </r>
    <r>
      <rPr>
        <sz val="11"/>
        <color theme="1"/>
        <rFont val="ＭＳ Ｐゴシック"/>
        <family val="3"/>
        <charset val="134"/>
        <scheme val="minor"/>
      </rPr>
      <t>蔺遗</t>
    </r>
    <r>
      <rPr>
        <sz val="11"/>
        <color theme="1"/>
        <rFont val="ＭＳ Ｐゴシック"/>
        <family val="3"/>
        <charset val="128"/>
        <scheme val="minor"/>
      </rPr>
      <t>凡香</t>
    </r>
  </si>
  <si>
    <r>
      <t xml:space="preserve">白酒; 米酒; 葡萄酒; 苹果酒; 黄酒; 开胃酒; 茴香酒（利口酒）; 梨酒;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</si>
  <si>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加烈葡萄酒; 伏特加酒</t>
    </r>
  </si>
  <si>
    <r>
      <t>璟樽小</t>
    </r>
    <r>
      <rPr>
        <sz val="11"/>
        <color theme="1"/>
        <rFont val="ＭＳ Ｐゴシック"/>
        <family val="3"/>
        <charset val="134"/>
        <scheme val="minor"/>
      </rPr>
      <t>酿满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</si>
  <si>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州璟樽小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</si>
  <si>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葡萄酒; 开胃酒</t>
    </r>
  </si>
  <si>
    <t>世梦君</t>
  </si>
  <si>
    <r>
      <t>兴</t>
    </r>
    <r>
      <rPr>
        <sz val="11"/>
        <color theme="1"/>
        <rFont val="ＭＳ Ｐゴシック"/>
        <family val="3"/>
        <charset val="128"/>
        <scheme val="minor"/>
      </rPr>
      <t>吉晟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</si>
  <si>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雅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</si>
  <si>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烈酒;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</si>
  <si>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涣</t>
    </r>
    <r>
      <rPr>
        <sz val="11"/>
        <color theme="1"/>
        <rFont val="ＭＳ Ｐゴシック"/>
        <family val="3"/>
        <charset val="128"/>
        <scheme val="minor"/>
      </rPr>
      <t>韵</t>
    </r>
  </si>
  <si>
    <r>
      <t>濉溪</t>
    </r>
    <r>
      <rPr>
        <sz val="11"/>
        <color theme="1"/>
        <rFont val="ＭＳ Ｐゴシック"/>
        <family val="3"/>
        <charset val="134"/>
        <scheme val="minor"/>
      </rPr>
      <t>县临涣联</t>
    </r>
    <r>
      <rPr>
        <sz val="11"/>
        <color theme="1"/>
        <rFont val="ＭＳ Ｐゴシック"/>
        <family val="3"/>
        <charset val="128"/>
        <scheme val="minor"/>
      </rPr>
      <t>合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</si>
  <si>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葡萄酒; 果酒（含酒精）; 米酒; 甘蔗制烈酒;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</si>
  <si>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洁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</si>
  <si>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>深圳市港</t>
    </r>
    <r>
      <rPr>
        <sz val="11"/>
        <color theme="1"/>
        <rFont val="ＭＳ Ｐゴシック"/>
        <family val="3"/>
        <charset val="134"/>
        <scheme val="minor"/>
      </rPr>
      <t>码</t>
    </r>
    <r>
      <rPr>
        <sz val="11"/>
        <color theme="1"/>
        <rFont val="ＭＳ Ｐゴシック"/>
        <family val="3"/>
        <charset val="128"/>
        <scheme val="minor"/>
      </rPr>
      <t>科技云平台有限公司</t>
    </r>
  </si>
  <si>
    <r>
      <t>果酒（含酒精）;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伏特加酒; 白干酒（中国白酒）; 黄酒; 白酒; 米酒</t>
    </r>
  </si>
  <si>
    <t>鹿昌侯</t>
  </si>
  <si>
    <t>巴莱蔓</t>
  </si>
  <si>
    <t>翡朗</t>
  </si>
  <si>
    <r>
      <t>夏王</t>
    </r>
    <r>
      <rPr>
        <sz val="11"/>
        <color theme="1"/>
        <rFont val="ＭＳ Ｐゴシック"/>
        <family val="3"/>
        <charset val="134"/>
        <scheme val="minor"/>
      </rPr>
      <t>窦</t>
    </r>
    <r>
      <rPr>
        <sz val="11"/>
        <color theme="1"/>
        <rFont val="ＭＳ Ｐゴシック"/>
        <family val="3"/>
        <charset val="128"/>
        <scheme val="minor"/>
      </rPr>
      <t>建德</t>
    </r>
  </si>
  <si>
    <r>
      <t>闫</t>
    </r>
    <r>
      <rPr>
        <sz val="11"/>
        <color theme="1"/>
        <rFont val="ＭＳ Ｐゴシック"/>
        <family val="3"/>
        <charset val="128"/>
        <scheme val="minor"/>
      </rPr>
      <t>敬芳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</si>
  <si>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朗姆酒; 米酒;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</si>
  <si>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t>瀛亘</t>
  </si>
  <si>
    <r>
      <t>白酒;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</si>
  <si>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南平武夷山三凌茶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商有限公司</t>
    </r>
  </si>
  <si>
    <r>
      <t>食用酒精;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</t>
    </r>
  </si>
  <si>
    <t>喜搭档</t>
  </si>
  <si>
    <t>李小利</t>
  </si>
  <si>
    <t>吟品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</si>
  <si>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州吟品酒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</si>
  <si>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黄酒; 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高粱酒; 果酒;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</si>
  <si>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赢驰</t>
  </si>
  <si>
    <r>
      <t>丹阳</t>
    </r>
    <r>
      <rPr>
        <sz val="11"/>
        <color theme="1"/>
        <rFont val="ＭＳ Ｐゴシック"/>
        <family val="3"/>
        <charset val="134"/>
        <scheme val="minor"/>
      </rPr>
      <t>赢驰</t>
    </r>
    <r>
      <rPr>
        <sz val="11"/>
        <color theme="1"/>
        <rFont val="ＭＳ Ｐゴシック"/>
        <family val="3"/>
        <charset val="128"/>
        <scheme val="minor"/>
      </rPr>
      <t>机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</si>
  <si>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苹果酒;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威士忌; 青稞酒; 利口酒;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</si>
  <si>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澳樽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</si>
  <si>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黄酒; 食用酒精;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</t>
    </r>
  </si>
  <si>
    <t>NEWLAND SHINING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</si>
  <si>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柿安盈食品有限公司</t>
    </r>
  </si>
  <si>
    <r>
      <t xml:space="preserve">高粱酒; 烈酒; 黄酒; 米酒;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</si>
  <si>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藏粱井</t>
  </si>
  <si>
    <r>
      <t>成尚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</si>
  <si>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斟</t>
    </r>
    <r>
      <rPr>
        <sz val="11"/>
        <color theme="1"/>
        <rFont val="ＭＳ Ｐゴシック"/>
        <family val="3"/>
        <charset val="129"/>
        <scheme val="minor"/>
      </rPr>
      <t>优</t>
    </r>
  </si>
  <si>
    <t>文翠萍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</si>
  <si>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果酒（含酒精）; 威士忌; 开胃酒; 葡萄酒; 黄酒</t>
    </r>
  </si>
  <si>
    <r>
      <t>驰</t>
    </r>
    <r>
      <rPr>
        <sz val="11"/>
        <color theme="1"/>
        <rFont val="ＭＳ Ｐゴシック"/>
        <family val="3"/>
        <charset val="128"/>
        <scheme val="minor"/>
      </rPr>
      <t>牧野</t>
    </r>
  </si>
  <si>
    <r>
      <t>越野家族（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莞）汽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</si>
  <si>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</si>
  <si>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粹</t>
    </r>
  </si>
  <si>
    <r>
      <t>天幕(香港)国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</si>
  <si>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</si>
  <si>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洪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台</t>
    </r>
  </si>
  <si>
    <t>唐大明</t>
  </si>
  <si>
    <r>
      <t>赛</t>
    </r>
    <r>
      <rPr>
        <sz val="11"/>
        <color theme="1"/>
        <rFont val="ＭＳ Ｐゴシック"/>
        <family val="3"/>
        <charset val="128"/>
        <scheme val="minor"/>
      </rPr>
      <t>豹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</si>
  <si>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葡萄酒; 白酒</t>
    </r>
  </si>
  <si>
    <t>BRICK LIFE</t>
  </si>
  <si>
    <r>
      <t>北京乾升投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</si>
  <si>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</t>
    </r>
  </si>
  <si>
    <t>古粮北</t>
  </si>
  <si>
    <r>
      <t>贵</t>
    </r>
    <r>
      <rPr>
        <sz val="11"/>
        <color theme="1"/>
        <rFont val="ＭＳ Ｐゴシック"/>
        <family val="3"/>
        <charset val="128"/>
        <scheme val="minor"/>
      </rPr>
      <t>君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</si>
  <si>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慧</t>
    </r>
  </si>
  <si>
    <r>
      <t xml:space="preserve">果酒（含酒精）; 葡萄酒; 清酒（日本米酒）; 威士忌;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果酒; 米酒</t>
    </r>
  </si>
  <si>
    <t>它蔓</t>
  </si>
  <si>
    <r>
      <t>西安名格餐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</si>
  <si>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甜酒</t>
    </r>
  </si>
  <si>
    <t>玖粮辰</t>
  </si>
  <si>
    <t>滁流香</t>
  </si>
  <si>
    <t>耿笑笑</t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</si>
  <si>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伏特加酒; 黄酒; 威士忌</t>
    </r>
  </si>
  <si>
    <t>古粮君</t>
  </si>
  <si>
    <r>
      <t xml:space="preserve">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果酒（含酒精）</t>
    </r>
  </si>
  <si>
    <t>谷窖巷</t>
  </si>
  <si>
    <t>湖来湘</t>
  </si>
  <si>
    <r>
      <t>湖南君滔房地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</si>
  <si>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米酒; 清酒</t>
    </r>
  </si>
  <si>
    <r>
      <t>双</t>
    </r>
    <r>
      <rPr>
        <sz val="11"/>
        <color theme="1"/>
        <rFont val="ＭＳ Ｐゴシック"/>
        <family val="3"/>
        <charset val="129"/>
        <scheme val="minor"/>
      </rPr>
      <t>泃</t>
    </r>
    <r>
      <rPr>
        <sz val="11"/>
        <color theme="1"/>
        <rFont val="ＭＳ Ｐゴシック"/>
        <family val="3"/>
        <charset val="128"/>
        <scheme val="minor"/>
      </rPr>
      <t>徽墨人家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</si>
  <si>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清酒（日本米酒）</t>
    </r>
  </si>
  <si>
    <r>
      <t>璃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院</t>
    </r>
  </si>
  <si>
    <r>
      <t>上海璃</t>
    </r>
    <r>
      <rPr>
        <sz val="11"/>
        <color theme="1"/>
        <rFont val="ＭＳ Ｐゴシック"/>
        <family val="3"/>
        <charset val="134"/>
        <scheme val="minor"/>
      </rPr>
      <t>书缘</t>
    </r>
    <r>
      <rPr>
        <sz val="11"/>
        <color theme="1"/>
        <rFont val="ＭＳ Ｐゴシック"/>
        <family val="3"/>
        <charset val="128"/>
        <scheme val="minor"/>
      </rPr>
      <t>建筑装</t>
    </r>
    <r>
      <rPr>
        <sz val="11"/>
        <color theme="1"/>
        <rFont val="ＭＳ Ｐゴシック"/>
        <family val="3"/>
        <charset val="134"/>
        <scheme val="minor"/>
      </rPr>
      <t>饰设计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</si>
  <si>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朗姆酒;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果酒（含酒精）; 青稞酒</t>
    </r>
  </si>
  <si>
    <t>CHATEAULYNCHBAGEECHO</t>
  </si>
  <si>
    <r>
      <t>靓</t>
    </r>
    <r>
      <rPr>
        <sz val="11"/>
        <color theme="1"/>
        <rFont val="ＭＳ Ｐゴシック"/>
        <family val="3"/>
        <charset val="128"/>
        <scheme val="minor"/>
      </rPr>
      <t>次柏（上海）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</si>
  <si>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</t>
    </r>
  </si>
  <si>
    <r>
      <t>鉴</t>
    </r>
    <r>
      <rPr>
        <sz val="11"/>
        <color theme="1"/>
        <rFont val="ＭＳ Ｐゴシック"/>
        <family val="3"/>
        <charset val="128"/>
        <scheme val="minor"/>
      </rPr>
      <t>誉封</t>
    </r>
  </si>
  <si>
    <t>李小阳</t>
  </si>
  <si>
    <r>
      <t>贵</t>
    </r>
    <r>
      <rPr>
        <sz val="11"/>
        <color theme="1"/>
        <rFont val="ＭＳ Ｐゴシック"/>
        <family val="3"/>
        <charset val="128"/>
        <scheme val="minor"/>
      </rPr>
      <t>帝翁</t>
    </r>
  </si>
  <si>
    <r>
      <t>藏天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</si>
  <si>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</si>
  <si>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傲芭特古堡</t>
  </si>
  <si>
    <r>
      <t>福建省源世佳品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</si>
  <si>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甜果酒; 青稞酒; 黄酒; 白酒;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</si>
  <si>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志留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玉</t>
    </r>
  </si>
  <si>
    <r>
      <t>平</t>
    </r>
    <r>
      <rPr>
        <sz val="11"/>
        <color theme="1"/>
        <rFont val="ＭＳ Ｐゴシック"/>
        <family val="3"/>
        <charset val="134"/>
        <scheme val="minor"/>
      </rPr>
      <t>舆县</t>
    </r>
    <r>
      <rPr>
        <sz val="11"/>
        <color theme="1"/>
        <rFont val="ＭＳ Ｐゴシック"/>
        <family val="3"/>
        <charset val="128"/>
        <scheme val="minor"/>
      </rPr>
      <t>醉</t>
    </r>
    <r>
      <rPr>
        <sz val="11"/>
        <color theme="1"/>
        <rFont val="ＭＳ Ｐゴシック"/>
        <family val="3"/>
        <charset val="134"/>
        <scheme val="minor"/>
      </rPr>
      <t>颠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</si>
  <si>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清酒;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利口酒; 黄酒; 果酒</t>
    </r>
  </si>
  <si>
    <t>撰德</t>
  </si>
  <si>
    <r>
      <t>高粱酒;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烈酒; 米酒; 黄酒; 白酒; 葡萄酒</t>
    </r>
  </si>
  <si>
    <r>
      <t>宾鸿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</si>
  <si>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9"/>
        <scheme val="minor"/>
      </rPr>
      <t>怀</t>
    </r>
  </si>
  <si>
    <t>宋俊</t>
  </si>
  <si>
    <r>
      <t>诸</t>
    </r>
    <r>
      <rPr>
        <sz val="11"/>
        <color theme="1"/>
        <rFont val="ＭＳ Ｐゴシック"/>
        <family val="3"/>
        <charset val="128"/>
        <scheme val="minor"/>
      </rPr>
      <t>粮将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</si>
  <si>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黄酒; 食用酒精; 果酒（含酒精）;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</si>
  <si>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谷小敖</t>
  </si>
  <si>
    <r>
      <t>内蒙古豁牙山家庭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</t>
    </r>
    <r>
      <rPr>
        <sz val="11"/>
        <color theme="1"/>
        <rFont val="ＭＳ Ｐゴシック"/>
        <family val="3"/>
        <charset val="134"/>
        <scheme val="minor"/>
      </rPr>
      <t>场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</si>
  <si>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果酒; 烈酒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</si>
  <si>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桑</t>
    </r>
  </si>
  <si>
    <r>
      <t>五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区皓盈百</t>
    </r>
    <r>
      <rPr>
        <sz val="11"/>
        <color theme="1"/>
        <rFont val="ＭＳ Ｐゴシック"/>
        <family val="3"/>
        <charset val="134"/>
        <scheme val="minor"/>
      </rPr>
      <t>货经营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</si>
  <si>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 xml:space="preserve">米酒; 清酒（日本米酒）; 果酒（含酒精）; 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>酒; 白酒; 黄酒; 威士忌</t>
    </r>
  </si>
  <si>
    <r>
      <t>兰凯</t>
    </r>
    <r>
      <rPr>
        <sz val="11"/>
        <color theme="1"/>
        <rFont val="ＭＳ Ｐゴシック"/>
        <family val="3"/>
        <charset val="128"/>
        <scheme val="minor"/>
      </rPr>
      <t>蒂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</si>
  <si>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口市尚明商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</si>
  <si>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</t>
    </r>
  </si>
  <si>
    <r>
      <t>壶</t>
    </r>
    <r>
      <rPr>
        <sz val="11"/>
        <color theme="1"/>
        <rFont val="ＭＳ Ｐゴシック"/>
        <family val="3"/>
        <charset val="128"/>
        <scheme val="minor"/>
      </rPr>
      <t>醉月</t>
    </r>
  </si>
  <si>
    <r>
      <t>贤</t>
    </r>
    <r>
      <rPr>
        <sz val="11"/>
        <color theme="1"/>
        <rFont val="ＭＳ Ｐゴシック"/>
        <family val="3"/>
        <charset val="128"/>
        <scheme val="minor"/>
      </rPr>
      <t>泓</t>
    </r>
  </si>
  <si>
    <t>林敏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</si>
  <si>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米酒; 白酒; 威士忌;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</si>
  <si>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夜</t>
    </r>
    <r>
      <rPr>
        <sz val="11"/>
        <color theme="1"/>
        <rFont val="ＭＳ Ｐゴシック"/>
        <family val="3"/>
        <charset val="134"/>
        <scheme val="minor"/>
      </rPr>
      <t>脑</t>
    </r>
  </si>
  <si>
    <r>
      <t>益</t>
    </r>
    <r>
      <rPr>
        <sz val="11"/>
        <color theme="1"/>
        <rFont val="ＭＳ Ｐゴシック"/>
        <family val="3"/>
        <charset val="134"/>
        <scheme val="minor"/>
      </rPr>
      <t>脑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管理（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雄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</si>
  <si>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白酒;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</si>
  <si>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晋香承</t>
  </si>
  <si>
    <r>
      <t>黄酒; 白酒; 开胃酒; 清酒（日本米酒）;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</t>
    </r>
  </si>
  <si>
    <r>
      <t>思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本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</si>
  <si>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州萱嘉苗方堂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</si>
  <si>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米酒;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</t>
    </r>
  </si>
  <si>
    <r>
      <t>易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吟</t>
    </r>
  </si>
  <si>
    <t>法永祥******************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</si>
  <si>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米酒</t>
    </r>
  </si>
  <si>
    <t>圣曼尼</t>
  </si>
  <si>
    <r>
      <t xml:space="preserve">开胃酒; 白酒; 清酒; 葡萄酒; 果酒（含酒精）; 蜂蜜酒;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</si>
  <si>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宜</t>
    </r>
    <r>
      <rPr>
        <sz val="11"/>
        <color theme="1"/>
        <rFont val="ＭＳ Ｐゴシック"/>
        <family val="3"/>
        <charset val="134"/>
        <scheme val="minor"/>
      </rPr>
      <t>赏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</si>
  <si>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米酒</t>
    </r>
  </si>
  <si>
    <t>宜逸</t>
  </si>
  <si>
    <r>
      <t xml:space="preserve">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果酒; 米酒;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</si>
  <si>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手亦安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</si>
  <si>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</si>
  <si>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福花曲</t>
  </si>
  <si>
    <r>
      <t>陨</t>
    </r>
    <r>
      <rPr>
        <sz val="11"/>
        <color theme="1"/>
        <rFont val="ＭＳ Ｐゴシック"/>
        <family val="3"/>
        <charset val="128"/>
        <scheme val="minor"/>
      </rPr>
      <t>尊</t>
    </r>
  </si>
  <si>
    <t>前后科技股份有限公司</t>
  </si>
  <si>
    <r>
      <t>青稞酒; 食用酒精; 白酒; 果酒;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蒸煮提取物（利口酒和烈酒）; 烈酒</t>
    </r>
  </si>
  <si>
    <t>仙吟台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</si>
  <si>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米酒; 白酒; 食用酒精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</si>
  <si>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帝梁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</si>
  <si>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米酒; 白酒; 食用酒精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</si>
  <si>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帝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</si>
  <si>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双</t>
    </r>
    <r>
      <rPr>
        <sz val="11"/>
        <color theme="1"/>
        <rFont val="ＭＳ Ｐゴシック"/>
        <family val="3"/>
        <charset val="129"/>
        <scheme val="minor"/>
      </rPr>
      <t>泃</t>
    </r>
    <r>
      <rPr>
        <sz val="11"/>
        <color theme="1"/>
        <rFont val="ＭＳ Ｐゴシック"/>
        <family val="3"/>
        <charset val="128"/>
        <scheme val="minor"/>
      </rPr>
      <t>妙悠然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</si>
  <si>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白酒; 伏特加酒;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</si>
  <si>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双</t>
    </r>
    <r>
      <rPr>
        <sz val="11"/>
        <color theme="1"/>
        <rFont val="ＭＳ Ｐゴシック"/>
        <family val="3"/>
        <charset val="129"/>
        <scheme val="minor"/>
      </rPr>
      <t>泃</t>
    </r>
    <r>
      <rPr>
        <sz val="11"/>
        <color theme="1"/>
        <rFont val="ＭＳ Ｐゴシック"/>
        <family val="3"/>
        <charset val="128"/>
        <scheme val="minor"/>
      </rPr>
      <t>彩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来</t>
    </r>
    <r>
      <rPr>
        <sz val="11"/>
        <color theme="1"/>
        <rFont val="ＭＳ Ｐゴシック"/>
        <family val="3"/>
        <charset val="134"/>
        <scheme val="minor"/>
      </rPr>
      <t>仪</t>
    </r>
  </si>
  <si>
    <r>
      <t>四川蜀国古坊酒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</si>
  <si>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食用酒精;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</si>
  <si>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尚台泓</t>
  </si>
  <si>
    <r>
      <t>湖南辰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</si>
  <si>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</si>
  <si>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t>VASOUN</t>
  </si>
  <si>
    <r>
      <t>深圳市本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</si>
  <si>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白酒;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</t>
    </r>
  </si>
  <si>
    <r>
      <t>孚林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邦</t>
    </r>
  </si>
  <si>
    <r>
      <t>白酒; 黄酒; 果酒; 米酒; 五加皮酒（中国混合烈酒）; 朗姆酒; 伏特加酒; 青稞酒;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</si>
  <si>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粮将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</si>
  <si>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美好</t>
    </r>
  </si>
  <si>
    <r>
      <t>李明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</si>
  <si>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清酒; 白酒; 露酒; 青梅酒;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朗姆酒;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</si>
  <si>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程达牌</t>
  </si>
  <si>
    <r>
      <t>天水程达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气有限公司</t>
    </r>
  </si>
  <si>
    <r>
      <t xml:space="preserve">茴芹酒（利口酒）; 五加皮酒（中国混合烈酒）;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米酒）; 黑醋栗酒; 天然汽酒;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>酒; 威末酒; 甘蔗制烈酒; 蝮蛇酒; 露酒</t>
    </r>
  </si>
  <si>
    <t>洞廊台</t>
  </si>
  <si>
    <r>
      <t>菲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</si>
  <si>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路易迪</t>
    </r>
    <r>
      <rPr>
        <sz val="11"/>
        <color theme="1"/>
        <rFont val="ＭＳ Ｐゴシック"/>
        <family val="3"/>
        <charset val="134"/>
        <scheme val="minor"/>
      </rPr>
      <t>恺</t>
    </r>
    <r>
      <rPr>
        <sz val="11"/>
        <color theme="1"/>
        <rFont val="ＭＳ Ｐゴシック"/>
        <family val="3"/>
        <charset val="128"/>
        <scheme val="minor"/>
      </rPr>
      <t>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</si>
  <si>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</si>
  <si>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 xml:space="preserve">葡萄酒; 清酒（日本米酒）; 威士忌; 米酒; 果酒（含酒精）; 黄酒; 白酒; 果酒;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</si>
  <si>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圣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森</t>
    </r>
  </si>
  <si>
    <r>
      <t>晋江市澳</t>
    </r>
    <r>
      <rPr>
        <sz val="11"/>
        <color theme="1"/>
        <rFont val="ＭＳ Ｐゴシック"/>
        <family val="3"/>
        <charset val="134"/>
        <scheme val="minor"/>
      </rPr>
      <t>闽贸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</si>
  <si>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</si>
  <si>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r>
      <t>飞凤</t>
    </r>
    <r>
      <rPr>
        <sz val="11"/>
        <color theme="1"/>
        <rFont val="ＭＳ Ｐゴシック"/>
        <family val="3"/>
        <charset val="128"/>
        <scheme val="minor"/>
      </rPr>
      <t>潭</t>
    </r>
  </si>
  <si>
    <t>写清花</t>
  </si>
  <si>
    <r>
      <t>戴</t>
    </r>
    <r>
      <rPr>
        <sz val="11"/>
        <color theme="1"/>
        <rFont val="ＭＳ Ｐゴシック"/>
        <family val="3"/>
        <charset val="134"/>
        <scheme val="minor"/>
      </rPr>
      <t>红华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</si>
  <si>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威士忌; 白酒; 清酒;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</si>
  <si>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IBAIJIU</t>
  </si>
  <si>
    <t>刘林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</si>
  <si>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</t>
    </r>
  </si>
  <si>
    <t>博廊台</t>
  </si>
  <si>
    <r>
      <t>蔺</t>
    </r>
    <r>
      <rPr>
        <sz val="11"/>
        <color theme="1"/>
        <rFont val="ＭＳ Ｐゴシック"/>
        <family val="3"/>
        <charset val="128"/>
        <scheme val="minor"/>
      </rPr>
      <t>花瓷</t>
    </r>
  </si>
  <si>
    <r>
      <t>王明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</si>
  <si>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威士忌; 果酒（含酒精）; 米酒</t>
    </r>
  </si>
  <si>
    <t>奈迪格仁</t>
  </si>
  <si>
    <t>李莉</t>
  </si>
  <si>
    <r>
      <t xml:space="preserve">果酒（含酒精）; 米酒; 烈酒; 白酒; 开胃酒;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</si>
  <si>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弥臻</t>
  </si>
  <si>
    <r>
      <t>陈</t>
    </r>
    <r>
      <rPr>
        <sz val="11"/>
        <color theme="1"/>
        <rFont val="ＭＳ Ｐゴシック"/>
        <family val="3"/>
        <charset val="128"/>
        <scheme val="minor"/>
      </rPr>
      <t>德春******************</t>
    </r>
  </si>
  <si>
    <r>
      <t>开胃酒; 果酒; 清酒（日本米酒）;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蒸煮提取物（利口酒和烈酒）; 葡萄酒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</si>
  <si>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廊台</t>
    </r>
  </si>
  <si>
    <r>
      <t>诗贵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</si>
  <si>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国</t>
    </r>
  </si>
  <si>
    <r>
      <t xml:space="preserve">黄酒; 果酒; 蜂蜜酒; 烈酒;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</si>
  <si>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禾粮帝</t>
  </si>
  <si>
    <r>
      <t>飞鸿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</si>
  <si>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白酒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</si>
  <si>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帝侯</t>
    </r>
  </si>
  <si>
    <t>李豁子</t>
  </si>
  <si>
    <t>洛阳客属文化有限公司</t>
  </si>
  <si>
    <r>
      <t>白酒; 果酒（含酒精）; 开胃酒; 餐后酒（利口酒和烈酒）;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</si>
  <si>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舟雪</t>
    </r>
  </si>
  <si>
    <t>孔黔匠</t>
  </si>
  <si>
    <t>蕾恩吉祥</t>
  </si>
  <si>
    <r>
      <t>深圳市蕾恩珠宝首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</si>
  <si>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</t>
    </r>
  </si>
  <si>
    <r>
      <t>祥</t>
    </r>
    <r>
      <rPr>
        <sz val="11"/>
        <color theme="1"/>
        <rFont val="ＭＳ Ｐゴシック"/>
        <family val="3"/>
        <charset val="134"/>
        <scheme val="minor"/>
      </rPr>
      <t>雾</t>
    </r>
  </si>
  <si>
    <t>叙春秋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</si>
  <si>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清酒（日本米酒）; 威士忌; 白酒</t>
    </r>
  </si>
  <si>
    <r>
      <t>龄</t>
    </r>
    <r>
      <rPr>
        <sz val="11"/>
        <color theme="1"/>
        <rFont val="ＭＳ Ｐゴシック"/>
        <family val="3"/>
        <charset val="128"/>
        <scheme val="minor"/>
      </rPr>
      <t>窖山</t>
    </r>
  </si>
  <si>
    <t>泉来康</t>
  </si>
  <si>
    <r>
      <t>巴仕盾科技(江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)有限公司</t>
    </r>
  </si>
  <si>
    <r>
      <t>米酒; 果酒（含酒精）;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</si>
  <si>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柿安盈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</si>
  <si>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黄酒; 米酒; 葡萄酒; 高粱酒</t>
    </r>
  </si>
  <si>
    <t>真圳</t>
  </si>
  <si>
    <r>
      <t>果酒（含酒精）;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黄酒; 米酒</t>
    </r>
  </si>
  <si>
    <r>
      <t>花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潭</t>
    </r>
  </si>
  <si>
    <t>映海棠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</si>
  <si>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龙腾</t>
    </r>
    <r>
      <rPr>
        <sz val="11"/>
        <color theme="1"/>
        <rFont val="ＭＳ Ｐゴシック"/>
        <family val="3"/>
        <charset val="128"/>
        <scheme val="minor"/>
      </rPr>
      <t>盛世酒</t>
    </r>
    <r>
      <rPr>
        <sz val="11"/>
        <color theme="1"/>
        <rFont val="ＭＳ Ｐゴシック"/>
        <family val="3"/>
        <charset val="134"/>
        <scheme val="minor"/>
      </rPr>
      <t>类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</si>
  <si>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清酒（日本米酒）;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</si>
  <si>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粮</t>
    </r>
    <r>
      <rPr>
        <sz val="11"/>
        <color theme="1"/>
        <rFont val="ＭＳ Ｐゴシック"/>
        <family val="3"/>
        <charset val="134"/>
        <scheme val="minor"/>
      </rPr>
      <t>浔</t>
    </r>
  </si>
  <si>
    <r>
      <t>乘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而上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</si>
  <si>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州巨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崛起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</si>
  <si>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白酒; 开胃酒;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蒸煮提取物（利口酒和烈酒）; 葡萄酒</t>
    </r>
  </si>
  <si>
    <r>
      <t>巴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</si>
  <si>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蒸煮提取物（利口酒和烈酒）;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</si>
  <si>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杯窖侠</t>
  </si>
  <si>
    <r>
      <t>沂山百</t>
    </r>
    <r>
      <rPr>
        <sz val="11"/>
        <color theme="1"/>
        <rFont val="ＭＳ Ｐゴシック"/>
        <family val="3"/>
        <charset val="134"/>
        <scheme val="minor"/>
      </rPr>
      <t>岁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</si>
  <si>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士霞</t>
    </r>
  </si>
  <si>
    <r>
      <t>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汽酒; 黄酒; 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</si>
  <si>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无极象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</si>
  <si>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青稞酒; 黄酒; 白酒; 利口酒; 开胃酒; 汽酒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</si>
  <si>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粱井</t>
    </r>
  </si>
  <si>
    <r>
      <t>博品</t>
    </r>
    <r>
      <rPr>
        <sz val="11"/>
        <color theme="1"/>
        <rFont val="ＭＳ Ｐゴシック"/>
        <family val="3"/>
        <charset val="134"/>
        <scheme val="minor"/>
      </rPr>
      <t>蓥</t>
    </r>
    <r>
      <rPr>
        <sz val="11"/>
        <color theme="1"/>
        <rFont val="ＭＳ Ｐゴシック"/>
        <family val="3"/>
        <charset val="129"/>
        <scheme val="minor"/>
      </rPr>
      <t>优</t>
    </r>
  </si>
  <si>
    <t>曹博楠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</si>
  <si>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</t>
    </r>
  </si>
  <si>
    <r>
      <t>车</t>
    </r>
    <r>
      <rPr>
        <sz val="11"/>
        <color theme="1"/>
        <rFont val="ＭＳ Ｐゴシック"/>
        <family val="3"/>
        <charset val="128"/>
        <scheme val="minor"/>
      </rPr>
      <t>永</t>
    </r>
    <r>
      <rPr>
        <sz val="11"/>
        <color theme="1"/>
        <rFont val="ＭＳ Ｐゴシック"/>
        <family val="3"/>
        <charset val="134"/>
        <scheme val="minor"/>
      </rPr>
      <t>发</t>
    </r>
  </si>
  <si>
    <r>
      <t>扎</t>
    </r>
    <r>
      <rPr>
        <sz val="11"/>
        <color theme="1"/>
        <rFont val="ＭＳ Ｐゴシック"/>
        <family val="3"/>
        <charset val="134"/>
        <scheme val="minor"/>
      </rPr>
      <t>赉</t>
    </r>
    <r>
      <rPr>
        <sz val="11"/>
        <color theme="1"/>
        <rFont val="ＭＳ Ｐゴシック"/>
        <family val="3"/>
        <charset val="128"/>
        <scheme val="minor"/>
      </rPr>
      <t>特旗本地</t>
    </r>
    <r>
      <rPr>
        <sz val="11"/>
        <color theme="1"/>
        <rFont val="ＭＳ Ｐゴシック"/>
        <family val="3"/>
        <charset val="134"/>
        <scheme val="minor"/>
      </rPr>
      <t>买电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</si>
  <si>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薄荷酒; 果酒（含酒精）; 苦味酒; 茴芹酒（利口酒）;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茴香酒（利口酒）</t>
    </r>
  </si>
  <si>
    <r>
      <t>延吉市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运沃广告服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中心</t>
    </r>
  </si>
  <si>
    <t>米酒; 果酒（含酒精）</t>
  </si>
  <si>
    <t>亮妻</t>
  </si>
  <si>
    <t>秦祥勇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</si>
  <si>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</si>
  <si>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姜河</t>
    </r>
    <r>
      <rPr>
        <sz val="11"/>
        <color theme="1"/>
        <rFont val="ＭＳ Ｐゴシック"/>
        <family val="3"/>
        <charset val="134"/>
        <scheme val="minor"/>
      </rPr>
      <t>长</t>
    </r>
  </si>
  <si>
    <r>
      <t>白酒; 葡萄酒; 果酒;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威士忌; 清酒; 黄酒</t>
    </r>
  </si>
  <si>
    <t>酩粱井</t>
  </si>
  <si>
    <t>今然</t>
  </si>
  <si>
    <r>
      <t>湖北辰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</si>
  <si>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食用酒精</t>
    </r>
  </si>
  <si>
    <t>漫逗</t>
  </si>
  <si>
    <t>凌文英</t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</si>
  <si>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白葡萄酒; 白酒;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</si>
  <si>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邓</t>
    </r>
    <r>
      <rPr>
        <sz val="11"/>
        <color theme="1"/>
        <rFont val="ＭＳ Ｐゴシック"/>
        <family val="3"/>
        <charset val="128"/>
        <scheme val="minor"/>
      </rPr>
      <t>之春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</si>
  <si>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露酒;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</si>
  <si>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洽老大</t>
  </si>
  <si>
    <r>
      <t>山西杏花公社酒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</si>
  <si>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</t>
    </r>
  </si>
  <si>
    <t>清花洽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</si>
  <si>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白酒; 高粱酒</t>
    </r>
  </si>
  <si>
    <t>乙丑</t>
  </si>
  <si>
    <r>
      <t>沈阳霖海商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</si>
  <si>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伏特加酒; 烈酒; 白干酒（中国白酒）; 黄酒; 米酒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</si>
  <si>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韵酒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</si>
  <si>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州丑小</t>
    </r>
    <r>
      <rPr>
        <sz val="11"/>
        <color theme="1"/>
        <rFont val="ＭＳ Ｐゴシック"/>
        <family val="3"/>
        <charset val="134"/>
        <scheme val="minor"/>
      </rPr>
      <t>鸭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</si>
  <si>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开胃酒;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白酒; 茴芹酒（利口酒）;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</si>
  <si>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百酒将坊</t>
  </si>
  <si>
    <r>
      <t>张</t>
    </r>
    <r>
      <rPr>
        <sz val="11"/>
        <color theme="1"/>
        <rFont val="ＭＳ Ｐゴシック"/>
        <family val="3"/>
        <charset val="128"/>
        <scheme val="minor"/>
      </rPr>
      <t>吉林</t>
    </r>
  </si>
  <si>
    <r>
      <t xml:space="preserve">白酒; 果酒;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果酒（含酒精）;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</si>
  <si>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大宛之春</t>
  </si>
  <si>
    <r>
      <t>卡</t>
    </r>
    <r>
      <rPr>
        <sz val="11"/>
        <color theme="1"/>
        <rFont val="ＭＳ Ｐゴシック"/>
        <family val="3"/>
        <charset val="134"/>
        <scheme val="minor"/>
      </rPr>
      <t>妈</t>
    </r>
    <r>
      <rPr>
        <sz val="11"/>
        <color theme="1"/>
        <rFont val="ＭＳ Ｐゴシック"/>
        <family val="3"/>
        <charset val="128"/>
        <scheme val="minor"/>
      </rPr>
      <t>食品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</si>
  <si>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州卡</t>
    </r>
    <r>
      <rPr>
        <sz val="11"/>
        <color theme="1"/>
        <rFont val="ＭＳ Ｐゴシック"/>
        <family val="3"/>
        <charset val="134"/>
        <scheme val="minor"/>
      </rPr>
      <t>妈农</t>
    </r>
    <r>
      <rPr>
        <sz val="11"/>
        <color theme="1"/>
        <rFont val="ＭＳ Ｐゴシック"/>
        <family val="3"/>
        <charset val="128"/>
        <scheme val="minor"/>
      </rPr>
      <t>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</si>
  <si>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葡萄酒; 梨酒; 米酒; 黄酒; 果酒; 白酒; 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甜酒; 食用酒精</t>
    </r>
  </si>
  <si>
    <t>霖谷檀苑</t>
  </si>
  <si>
    <r>
      <t>北京星盛天合文化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</si>
  <si>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白酒; 清酒; 白干酒（中国白酒）; 伏特加酒</t>
    </r>
  </si>
  <si>
    <t>太古象</t>
  </si>
  <si>
    <r>
      <t xml:space="preserve">青稞酒; 黄酒; 白酒; 利口酒; 开胃酒;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</si>
  <si>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花洽</t>
    </r>
  </si>
  <si>
    <r>
      <t>垦</t>
    </r>
    <r>
      <rPr>
        <sz val="11"/>
        <color theme="1"/>
        <rFont val="ＭＳ Ｐゴシック"/>
        <family val="3"/>
        <charset val="128"/>
        <scheme val="minor"/>
      </rPr>
      <t>小厨</t>
    </r>
  </si>
  <si>
    <t>南京八号地物流有限公司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</si>
  <si>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</si>
  <si>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乾廊台</t>
  </si>
  <si>
    <r>
      <t>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蒸煮提取物（利口酒和烈酒）; 米酒</t>
    </r>
  </si>
  <si>
    <r>
      <t>旺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</si>
  <si>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勋</t>
    </r>
    <r>
      <rPr>
        <sz val="11"/>
        <color theme="1"/>
        <rFont val="ＭＳ Ｐゴシック"/>
        <family val="3"/>
        <charset val="128"/>
        <scheme val="minor"/>
      </rPr>
      <t>酩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</si>
  <si>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崇盛</t>
    </r>
  </si>
  <si>
    <r>
      <t>烈酒;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威士忌</t>
    </r>
  </si>
  <si>
    <r>
      <t>蜀州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台</t>
    </r>
  </si>
  <si>
    <t>余国彬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</si>
  <si>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露酒; 白酒; 清酒;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</si>
  <si>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杏福溪</t>
  </si>
  <si>
    <t>朱雨萍</t>
  </si>
  <si>
    <t>混元象</t>
  </si>
  <si>
    <r>
      <t xml:space="preserve">利口酒; 开胃酒;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青稞酒; 黄酒; 白酒</t>
    </r>
  </si>
  <si>
    <t>蜀州菊台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</si>
  <si>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露酒;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果酒（含酒精）;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</si>
  <si>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觥筹盛祝</t>
  </si>
  <si>
    <r>
      <t>杭州盛祝酒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</si>
  <si>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市婺城区</t>
    </r>
    <r>
      <rPr>
        <sz val="11"/>
        <color theme="1"/>
        <rFont val="ＭＳ Ｐゴシック"/>
        <family val="3"/>
        <charset val="134"/>
        <scheme val="minor"/>
      </rPr>
      <t>农酿</t>
    </r>
    <r>
      <rPr>
        <sz val="11"/>
        <color theme="1"/>
        <rFont val="ＭＳ Ｐゴシック"/>
        <family val="3"/>
        <charset val="128"/>
        <scheme val="minor"/>
      </rPr>
      <t>五妙商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</si>
  <si>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果酒; 烈酒; 白酒; 清酒; 露酒; 含酒精的气泡水;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</si>
  <si>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昆谷</t>
    </r>
    <r>
      <rPr>
        <sz val="11"/>
        <color theme="1"/>
        <rFont val="ＭＳ Ｐゴシック"/>
        <family val="3"/>
        <charset val="134"/>
        <scheme val="minor"/>
      </rPr>
      <t>仑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</si>
  <si>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武陟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聚通苗木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</si>
  <si>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汽酒; 青稞酒</t>
    </r>
  </si>
  <si>
    <r>
      <t>恒圣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</si>
  <si>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柔和酒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</si>
  <si>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利口酒; 黄酒; 开胃酒; 葡萄酒; 梨酒; 清酒（日本米酒）; 米酒</t>
    </r>
  </si>
  <si>
    <t>恩秀家</t>
  </si>
  <si>
    <r>
      <t>易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</si>
  <si>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黄酒; 果酒（含酒精）;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</si>
  <si>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小高享惠家</t>
  </si>
  <si>
    <t>山高能源科技（北京）有限公司</t>
  </si>
  <si>
    <r>
      <t xml:space="preserve">酸酒（低等葡萄酒）; 米酒; 青稞酒; 伏特加酒; 蜂蜜酒; 白酒; 黄酒; 葡萄酒;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</si>
  <si>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立宴</t>
  </si>
  <si>
    <t>付相立</t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</si>
  <si>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</si>
  <si>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君梦达</t>
  </si>
  <si>
    <t>康可可</t>
  </si>
  <si>
    <r>
      <t xml:space="preserve">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白酒; 露酒;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</si>
  <si>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茉茶里</t>
  </si>
  <si>
    <r>
      <t>北京茉茶里餐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</si>
  <si>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米酒;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清酒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</si>
  <si>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河山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</si>
  <si>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河山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</si>
  <si>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</si>
  <si>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顺</t>
    </r>
    <r>
      <rPr>
        <sz val="11"/>
        <color theme="1"/>
        <rFont val="ＭＳ Ｐゴシック"/>
        <family val="3"/>
        <charset val="128"/>
        <scheme val="minor"/>
      </rPr>
      <t>新壹佳</t>
    </r>
  </si>
  <si>
    <t>王科</t>
  </si>
  <si>
    <r>
      <t xml:space="preserve">果酒（含酒精）; 威士忌; 白酒;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梅酒; 清酒; 伏特加酒</t>
    </r>
  </si>
  <si>
    <r>
      <t>识</t>
    </r>
    <r>
      <rPr>
        <sz val="11"/>
        <color theme="1"/>
        <rFont val="ＭＳ Ｐゴシック"/>
        <family val="3"/>
        <charset val="128"/>
        <scheme val="minor"/>
      </rPr>
      <t>稻</t>
    </r>
  </si>
  <si>
    <t>胡彩珍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</si>
  <si>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</si>
  <si>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温黄</t>
  </si>
  <si>
    <t>浙江莎啦啦科技有限公司</t>
  </si>
  <si>
    <r>
      <t>黄酒; 果酒（含酒精）;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清酒（日本米酒）</t>
    </r>
  </si>
  <si>
    <r>
      <t>MEIH 美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生活</t>
    </r>
  </si>
  <si>
    <r>
      <t>河南美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健康管理有限公司</t>
    </r>
  </si>
  <si>
    <r>
      <t>苦艾酒; 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汽酒</t>
    </r>
  </si>
  <si>
    <t>乘减</t>
  </si>
  <si>
    <r>
      <t>上海玄印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</si>
  <si>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米酒; 汽酒; 威士忌;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</si>
  <si>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小丑鼠</t>
  </si>
  <si>
    <r>
      <t>北京中酒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</si>
  <si>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白干酒（中国白酒）;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</si>
  <si>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泰常春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</si>
  <si>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东泽</t>
    </r>
    <r>
      <rPr>
        <sz val="11"/>
        <color theme="1"/>
        <rFont val="ＭＳ Ｐゴシック"/>
        <family val="3"/>
        <charset val="128"/>
        <scheme val="minor"/>
      </rPr>
      <t>宇房地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</si>
  <si>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果酒; 烈酒;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</si>
  <si>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倍呵</t>
  </si>
  <si>
    <r>
      <t>山西瑞德原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</si>
  <si>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</si>
  <si>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先火</t>
  </si>
  <si>
    <r>
      <t>貂蝉（北京）文化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</si>
  <si>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果酒; 黄酒; 白酒; 烈酒; 甜酒; 青稞酒</t>
    </r>
  </si>
  <si>
    <r>
      <t>酷</t>
    </r>
    <r>
      <rPr>
        <sz val="11"/>
        <color theme="1"/>
        <rFont val="ＭＳ Ｐゴシック"/>
        <family val="3"/>
        <charset val="134"/>
        <scheme val="minor"/>
      </rPr>
      <t>鸭</t>
    </r>
    <r>
      <rPr>
        <sz val="11"/>
        <color theme="1"/>
        <rFont val="ＭＳ Ｐゴシック"/>
        <family val="3"/>
        <charset val="128"/>
        <scheme val="minor"/>
      </rPr>
      <t>潮玩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</si>
  <si>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曼尼酒庄（广州）有限公司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</si>
  <si>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威士忌; 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</si>
  <si>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股丰股</t>
  </si>
  <si>
    <r>
      <t>宿州市</t>
    </r>
    <r>
      <rPr>
        <sz val="11"/>
        <color theme="1"/>
        <rFont val="ＭＳ Ｐゴシック"/>
        <family val="3"/>
        <charset val="134"/>
        <scheme val="minor"/>
      </rPr>
      <t>驰</t>
    </r>
    <r>
      <rPr>
        <sz val="11"/>
        <color theme="1"/>
        <rFont val="ＭＳ Ｐゴシック"/>
        <family val="3"/>
        <charset val="128"/>
        <scheme val="minor"/>
      </rPr>
      <t>名商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</si>
  <si>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开胃酒;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清酒</t>
    </r>
  </si>
  <si>
    <t>天下叠峰</t>
  </si>
  <si>
    <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威士忌; 白酒; 米酒;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梅酒; 清酒; 伏特加酒</t>
    </r>
  </si>
  <si>
    <t>火三</t>
  </si>
  <si>
    <r>
      <t xml:space="preserve">葡萄酒; 米酒; 青稞酒;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甜酒; 果酒; 开胃酒; 白酒</t>
    </r>
  </si>
  <si>
    <r>
      <t>千果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光</t>
    </r>
  </si>
  <si>
    <t>徐周周</t>
  </si>
  <si>
    <r>
      <t>黄酒; 白酒;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甜果酒; 烈酒</t>
    </r>
  </si>
  <si>
    <r>
      <t>笑</t>
    </r>
    <r>
      <rPr>
        <sz val="11"/>
        <color theme="1"/>
        <rFont val="ＭＳ Ｐゴシック"/>
        <family val="3"/>
        <charset val="134"/>
        <scheme val="minor"/>
      </rPr>
      <t>农</t>
    </r>
  </si>
  <si>
    <t>北京彦云智能科技有限公司</t>
  </si>
  <si>
    <r>
      <t>葡萄酒;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白葡萄酒; 米酒; 白酒;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梅酒; 麦芽威士忌;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起泡白葡萄酒; 混合威士忌酒;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</si>
  <si>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华亿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</si>
  <si>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日万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</si>
  <si>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日精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啤酒有限公司</t>
    </r>
  </si>
  <si>
    <r>
      <t xml:space="preserve">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黄酒;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白干酒（中国白酒）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</si>
  <si>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喜</t>
    </r>
    <r>
      <rPr>
        <sz val="11"/>
        <color theme="1"/>
        <rFont val="ＭＳ Ｐゴシック"/>
        <family val="3"/>
        <charset val="134"/>
        <scheme val="minor"/>
      </rPr>
      <t>爱</t>
    </r>
  </si>
  <si>
    <r>
      <t>葡萄酒;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烈酒; 威士忌; 果酒（含酒精）; 白酒</t>
    </r>
  </si>
  <si>
    <t>富恰</t>
  </si>
  <si>
    <r>
      <t>上海雪厚坡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</si>
  <si>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 xml:space="preserve">果酒（含酒精）;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</si>
  <si>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祖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</si>
  <si>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 xml:space="preserve">白酒; 利口酒; 米酒;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清酒（日本米酒）; 黄酒; 青稞酒; 葡萄酒</t>
    </r>
  </si>
  <si>
    <r>
      <t>宋</t>
    </r>
    <r>
      <rPr>
        <sz val="11"/>
        <color theme="1"/>
        <rFont val="ＭＳ Ｐゴシック"/>
        <family val="3"/>
        <charset val="134"/>
        <scheme val="minor"/>
      </rPr>
      <t>岛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</si>
  <si>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志达</t>
    </r>
  </si>
  <si>
    <r>
      <t>葡萄酒; 白酒; 米酒; 高粱酒;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</si>
  <si>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都刘姥姥</t>
    </r>
  </si>
  <si>
    <r>
      <t>诸</t>
    </r>
    <r>
      <rPr>
        <sz val="11"/>
        <color theme="1"/>
        <rFont val="ＭＳ Ｐゴシック"/>
        <family val="3"/>
        <charset val="128"/>
        <scheme val="minor"/>
      </rPr>
      <t>城市双</t>
    </r>
    <r>
      <rPr>
        <sz val="11"/>
        <color theme="1"/>
        <rFont val="ＭＳ Ｐゴシック"/>
        <family val="3"/>
        <charset val="134"/>
        <scheme val="minor"/>
      </rPr>
      <t>骏农业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</si>
  <si>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利口酒;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青稞酒</t>
    </r>
  </si>
  <si>
    <t>柒月西施</t>
  </si>
  <si>
    <r>
      <t>张</t>
    </r>
    <r>
      <rPr>
        <sz val="11"/>
        <color theme="1"/>
        <rFont val="ＭＳ Ｐゴシック"/>
        <family val="3"/>
        <charset val="128"/>
        <scheme val="minor"/>
      </rPr>
      <t>小班</t>
    </r>
  </si>
  <si>
    <r>
      <t>威士忌; 开胃酒; 果酒（含酒精）; 清酒（日本米酒）; 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</t>
    </r>
  </si>
  <si>
    <t>四海喜</t>
  </si>
  <si>
    <t>林启雄</t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</si>
  <si>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黄酒</t>
    </r>
  </si>
  <si>
    <t>忠和</t>
  </si>
  <si>
    <r>
      <t>果酒（含酒精）;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黄酒; 白酒; 青梅酒; 甜酒; 梅酒; 清酒; 五加皮酒（中国混合烈酒）;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</si>
  <si>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态</t>
    </r>
    <r>
      <rPr>
        <sz val="11"/>
        <color theme="1"/>
        <rFont val="ＭＳ Ｐゴシック"/>
        <family val="3"/>
        <charset val="128"/>
        <scheme val="minor"/>
      </rPr>
      <t>生和</t>
    </r>
  </si>
  <si>
    <r>
      <t>态</t>
    </r>
    <r>
      <rPr>
        <sz val="11"/>
        <color theme="1"/>
        <rFont val="ＭＳ Ｐゴシック"/>
        <family val="3"/>
        <charset val="128"/>
        <scheme val="minor"/>
      </rPr>
      <t>生和（北京）科技有限公司</t>
    </r>
  </si>
  <si>
    <r>
      <t>果酒（含酒精）;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</si>
  <si>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念喜事</t>
  </si>
  <si>
    <r>
      <t>华</t>
    </r>
    <r>
      <rPr>
        <sz val="11"/>
        <color theme="1"/>
        <rFont val="ＭＳ Ｐゴシック"/>
        <family val="3"/>
        <charset val="128"/>
        <scheme val="minor"/>
      </rPr>
      <t>世乾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</si>
  <si>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 xml:space="preserve">伏特加酒;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白葡萄酒; 梅酒;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果酒（含酒精）; 威士忌; 白酒; 清酒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</si>
  <si>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越台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</si>
  <si>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鹰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钱</t>
    </r>
    <r>
      <rPr>
        <sz val="11"/>
        <color theme="1"/>
        <rFont val="ＭＳ Ｐゴシック"/>
        <family val="3"/>
        <charset val="128"/>
        <scheme val="minor"/>
      </rPr>
      <t>三花酒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</si>
  <si>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葡萄酒; 蒸煮提取物（利口酒和烈酒）;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</t>
    </r>
  </si>
  <si>
    <t>太一德</t>
  </si>
  <si>
    <r>
      <t>太一技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（太原）有限公司</t>
    </r>
  </si>
  <si>
    <r>
      <t>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</si>
  <si>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嘉北叶青</t>
  </si>
  <si>
    <r>
      <t>李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娜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</si>
  <si>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</si>
  <si>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泷</t>
    </r>
    <r>
      <rPr>
        <sz val="11"/>
        <color theme="1"/>
        <rFont val="ＭＳ Ｐゴシック"/>
        <family val="3"/>
        <charset val="128"/>
        <scheme val="minor"/>
      </rPr>
      <t>涎谷</t>
    </r>
  </si>
  <si>
    <r>
      <t>舟曲晨源特色</t>
    </r>
    <r>
      <rPr>
        <sz val="11"/>
        <color theme="1"/>
        <rFont val="ＭＳ Ｐゴシック"/>
        <family val="3"/>
        <charset val="134"/>
        <scheme val="minor"/>
      </rPr>
      <t>杂</t>
    </r>
    <r>
      <rPr>
        <sz val="11"/>
        <color theme="1"/>
        <rFont val="ＭＳ Ｐゴシック"/>
        <family val="3"/>
        <charset val="128"/>
        <scheme val="minor"/>
      </rPr>
      <t>粮开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</si>
  <si>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烈酒; 青稞酒</t>
    </r>
  </si>
  <si>
    <t>肌芙麦田</t>
  </si>
  <si>
    <r>
      <t>上海水</t>
    </r>
    <r>
      <rPr>
        <sz val="11"/>
        <color theme="1"/>
        <rFont val="ＭＳ Ｐゴシック"/>
        <family val="3"/>
        <charset val="134"/>
        <scheme val="minor"/>
      </rPr>
      <t>栀</t>
    </r>
    <r>
      <rPr>
        <sz val="11"/>
        <color theme="1"/>
        <rFont val="ＭＳ Ｐゴシック"/>
        <family val="3"/>
        <charset val="128"/>
        <scheme val="minor"/>
      </rPr>
      <t>化</t>
    </r>
    <r>
      <rPr>
        <sz val="11"/>
        <color theme="1"/>
        <rFont val="ＭＳ Ｐゴシック"/>
        <family val="3"/>
        <charset val="134"/>
        <scheme val="minor"/>
      </rPr>
      <t>妆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</si>
  <si>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</t>
    </r>
  </si>
  <si>
    <r>
      <t>峰</t>
    </r>
    <r>
      <rPr>
        <sz val="11"/>
        <color theme="1"/>
        <rFont val="ＭＳ Ｐゴシック"/>
        <family val="3"/>
        <charset val="134"/>
        <scheme val="minor"/>
      </rPr>
      <t>驰软</t>
    </r>
    <r>
      <rPr>
        <sz val="11"/>
        <color theme="1"/>
        <rFont val="ＭＳ Ｐゴシック"/>
        <family val="3"/>
        <charset val="128"/>
        <scheme val="minor"/>
      </rPr>
      <t>遵酒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</si>
  <si>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峰</t>
    </r>
    <r>
      <rPr>
        <sz val="11"/>
        <color theme="1"/>
        <rFont val="ＭＳ Ｐゴシック"/>
        <family val="3"/>
        <charset val="134"/>
        <scheme val="minor"/>
      </rPr>
      <t>驰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</si>
  <si>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梨酒;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清酒; 米酒</t>
    </r>
  </si>
  <si>
    <t>状元帽</t>
  </si>
  <si>
    <r>
      <t>南京好女儿酒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</si>
  <si>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果酒（含酒精）;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</si>
  <si>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中香田</t>
  </si>
  <si>
    <r>
      <t>江西德冠企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</si>
  <si>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</t>
    </r>
  </si>
  <si>
    <t>元森元</t>
  </si>
  <si>
    <r>
      <t>澳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元参元养生制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</si>
  <si>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高粱酒;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白酒</t>
    </r>
  </si>
  <si>
    <r>
      <t>塔里木富</t>
    </r>
    <r>
      <rPr>
        <sz val="11"/>
        <color theme="1"/>
        <rFont val="ＭＳ Ｐゴシック"/>
        <family val="3"/>
        <charset val="134"/>
        <scheme val="minor"/>
      </rPr>
      <t>满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</si>
  <si>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琴</t>
    </r>
  </si>
  <si>
    <r>
      <t>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</si>
  <si>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毕节</t>
    </r>
    <r>
      <rPr>
        <sz val="11"/>
        <color theme="1"/>
        <rFont val="ＭＳ Ｐゴシック"/>
        <family val="3"/>
        <charset val="128"/>
        <scheme val="minor"/>
      </rPr>
      <t>市七星关区三疆酒坊</t>
    </r>
  </si>
  <si>
    <r>
      <t>果酒(含酒精); 汽酒; 白酒; 烈酒(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料);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威士忌</t>
    </r>
  </si>
  <si>
    <t>澳富喜</t>
  </si>
  <si>
    <r>
      <t>李春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</si>
  <si>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朗姆酒; 伏特加酒;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</si>
  <si>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三秋叶</t>
  </si>
  <si>
    <r>
      <t>张</t>
    </r>
    <r>
      <rPr>
        <sz val="11"/>
        <color theme="1"/>
        <rFont val="ＭＳ Ｐゴシック"/>
        <family val="3"/>
        <charset val="128"/>
        <scheme val="minor"/>
      </rPr>
      <t>瑜</t>
    </r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</si>
  <si>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伏特加酒;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</si>
  <si>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t>小丑蛇</t>
  </si>
  <si>
    <t>小丑象</t>
  </si>
  <si>
    <t>小元姐姐</t>
  </si>
  <si>
    <t>梁永玲******************</t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</si>
  <si>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</si>
  <si>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来盛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</si>
  <si>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葛市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</si>
  <si>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食用酒精; 开胃酒;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</si>
  <si>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然达</t>
    </r>
  </si>
  <si>
    <t>南桃泉</t>
  </si>
  <si>
    <r>
      <t>南京君曲大院酒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</si>
  <si>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</si>
  <si>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官季</t>
  </si>
  <si>
    <t>刘粉妮</t>
  </si>
  <si>
    <t>黄酒; 开胃酒; 果酒; 汽酒; 食用酒精; 甜酒; 白酒; 米酒; 葡萄酒; 清酒</t>
  </si>
  <si>
    <t>明王峰池</t>
  </si>
  <si>
    <t>庄明将</t>
  </si>
  <si>
    <r>
      <t>米酒; 白酒; 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</t>
    </r>
  </si>
  <si>
    <r>
      <t>牧金</t>
    </r>
    <r>
      <rPr>
        <sz val="11"/>
        <color theme="1"/>
        <rFont val="ＭＳ Ｐゴシック"/>
        <family val="3"/>
        <charset val="134"/>
        <scheme val="minor"/>
      </rPr>
      <t>刚</t>
    </r>
  </si>
  <si>
    <t>李春</t>
  </si>
  <si>
    <r>
      <t xml:space="preserve">开胃酒;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苹果酒; 葡萄汽酒; 黄酒; 白干酒（中国白酒）</t>
    </r>
  </si>
  <si>
    <t>小丑兔</t>
  </si>
  <si>
    <r>
      <t>信</t>
    </r>
    <r>
      <rPr>
        <sz val="11"/>
        <color theme="1"/>
        <rFont val="ＭＳ Ｐゴシック"/>
        <family val="3"/>
        <charset val="134"/>
        <scheme val="minor"/>
      </rPr>
      <t>盏</t>
    </r>
  </si>
  <si>
    <r>
      <t>河南豫派冠香酒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</si>
  <si>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白酒; 梨酒;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</si>
  <si>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新</t>
    </r>
    <r>
      <rPr>
        <sz val="11"/>
        <color theme="1"/>
        <rFont val="ＭＳ Ｐゴシック"/>
        <family val="3"/>
        <charset val="134"/>
        <scheme val="minor"/>
      </rPr>
      <t>乌</t>
    </r>
    <r>
      <rPr>
        <sz val="11"/>
        <color theme="1"/>
        <rFont val="ＭＳ Ｐゴシック"/>
        <family val="3"/>
        <charset val="128"/>
        <scheme val="minor"/>
      </rPr>
      <t>船帽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</si>
  <si>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果酒（含酒精）</t>
    </r>
  </si>
  <si>
    <t>KEBI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</si>
</sst>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0_ "/>
  </numFmts>
  <fonts count="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34"/>
      <scheme val="minor"/>
    </font>
    <font>
      <sz val="11"/>
      <color theme="1"/>
      <name val="ＭＳ Ｐゴシック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top" wrapText="1"/>
    </xf>
    <xf numFmtId="49" fontId="0" fillId="2" borderId="1" xfId="0" applyNumberFormat="1" applyFill="1" applyBorder="1" applyAlignment="1">
      <alignment horizontal="center" vertical="top" wrapText="1"/>
    </xf>
    <xf numFmtId="177" fontId="0" fillId="2" borderId="1" xfId="0" applyNumberFormat="1" applyFill="1" applyBorder="1" applyAlignment="1">
      <alignment horizontal="center" vertical="top" wrapText="1"/>
    </xf>
    <xf numFmtId="176" fontId="0" fillId="2" borderId="1" xfId="0" applyNumberForma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1" xfId="0" applyBorder="1" applyAlignment="1">
      <alignment vertical="top" wrapText="1"/>
    </xf>
    <xf numFmtId="49" fontId="0" fillId="0" borderId="1" xfId="0" applyNumberFormat="1" applyBorder="1" applyAlignment="1">
      <alignment vertical="top" wrapText="1"/>
    </xf>
    <xf numFmtId="177" fontId="0" fillId="0" borderId="1" xfId="0" applyNumberFormat="1" applyBorder="1" applyAlignment="1">
      <alignment vertical="top" wrapText="1"/>
    </xf>
    <xf numFmtId="176" fontId="0" fillId="0" borderId="1" xfId="0" applyNumberFormat="1" applyBorder="1" applyAlignment="1">
      <alignment vertical="top" wrapText="1"/>
    </xf>
    <xf numFmtId="49" fontId="0" fillId="0" borderId="0" xfId="0" applyNumberFormat="1" applyAlignment="1">
      <alignment vertical="top" wrapText="1"/>
    </xf>
    <xf numFmtId="177" fontId="0" fillId="0" borderId="0" xfId="0" applyNumberFormat="1" applyAlignment="1">
      <alignment vertical="top" wrapText="1"/>
    </xf>
    <xf numFmtId="176" fontId="0" fillId="0" borderId="0" xfId="0" applyNumberFormat="1" applyAlignment="1">
      <alignment vertical="top" wrapText="1"/>
    </xf>
    <xf numFmtId="177" fontId="2" fillId="0" borderId="1" xfId="1" applyNumberFormat="1" applyFill="1" applyBorder="1" applyAlignment="1">
      <alignment vertical="top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98445-1951-4E75-A56B-9C58B7DED9D1}">
  <dimension ref="A1:I2725"/>
  <sheetViews>
    <sheetView tabSelected="1" workbookViewId="0"/>
  </sheetViews>
  <sheetFormatPr defaultRowHeight="13.5" x14ac:dyDescent="0.15"/>
  <cols>
    <col min="1" max="1" width="9" style="5"/>
    <col min="2" max="2" width="9" style="10"/>
    <col min="3" max="3" width="9" style="11"/>
    <col min="4" max="4" width="11.625" style="12" customWidth="1"/>
    <col min="5" max="5" width="10.625" style="11" bestFit="1" customWidth="1"/>
    <col min="6" max="6" width="28.375" style="10" customWidth="1"/>
    <col min="7" max="7" width="31.375" style="10" customWidth="1"/>
    <col min="8" max="8" width="100.625" style="10" customWidth="1"/>
    <col min="9" max="9" width="11.625" style="12" bestFit="1" customWidth="1"/>
  </cols>
  <sheetData>
    <row r="1" spans="1:9" x14ac:dyDescent="0.15">
      <c r="A1" s="1" t="s">
        <v>8</v>
      </c>
      <c r="B1" s="2" t="s">
        <v>0</v>
      </c>
      <c r="C1" s="3" t="s">
        <v>1</v>
      </c>
      <c r="D1" s="4" t="s">
        <v>2</v>
      </c>
      <c r="E1" s="3" t="s">
        <v>3</v>
      </c>
      <c r="F1" s="2" t="s">
        <v>4</v>
      </c>
      <c r="G1" s="2" t="s">
        <v>5</v>
      </c>
      <c r="H1" s="2" t="s">
        <v>6</v>
      </c>
      <c r="I1" s="4" t="s">
        <v>7</v>
      </c>
    </row>
    <row r="2" spans="1:9" x14ac:dyDescent="0.15">
      <c r="A2" s="6">
        <v>1</v>
      </c>
      <c r="B2" s="7" t="s">
        <v>9</v>
      </c>
      <c r="C2" s="8">
        <v>1883</v>
      </c>
      <c r="D2" s="9">
        <v>45395</v>
      </c>
      <c r="E2" s="13" t="str">
        <f>+HYPERLINK("http://trademark.i-assist.jp/data/china/image_1883th/44063372.pdf","44063372")</f>
        <v>44063372</v>
      </c>
      <c r="F2" s="7" t="s">
        <v>11</v>
      </c>
      <c r="G2" s="7" t="s">
        <v>12</v>
      </c>
      <c r="H2" s="7" t="s">
        <v>13</v>
      </c>
      <c r="I2" s="9">
        <v>43874</v>
      </c>
    </row>
    <row r="3" spans="1:9" x14ac:dyDescent="0.15">
      <c r="A3" s="6">
        <v>2</v>
      </c>
      <c r="B3" s="7" t="s">
        <v>9</v>
      </c>
      <c r="C3" s="8">
        <v>1883</v>
      </c>
      <c r="D3" s="9">
        <v>45395</v>
      </c>
      <c r="E3" s="13" t="str">
        <f>+HYPERLINK("http://trademark.i-assist.jp/data/china/image_1883th/52610983.pdf","52610983")</f>
        <v>52610983</v>
      </c>
      <c r="F3" s="7" t="s">
        <v>14</v>
      </c>
      <c r="G3" s="7" t="s">
        <v>15</v>
      </c>
      <c r="H3" s="7" t="s">
        <v>16</v>
      </c>
      <c r="I3" s="9">
        <v>44195</v>
      </c>
    </row>
    <row r="4" spans="1:9" x14ac:dyDescent="0.15">
      <c r="A4" s="6">
        <v>3</v>
      </c>
      <c r="B4" s="7" t="s">
        <v>9</v>
      </c>
      <c r="C4" s="8">
        <v>1883</v>
      </c>
      <c r="D4" s="9">
        <v>45395</v>
      </c>
      <c r="E4" s="13" t="str">
        <f>+HYPERLINK("http://trademark.i-assist.jp/data/china/image_1883th/52623949.pdf","52623949")</f>
        <v>52623949</v>
      </c>
      <c r="F4" s="7" t="s">
        <v>14</v>
      </c>
      <c r="G4" s="7" t="s">
        <v>15</v>
      </c>
      <c r="H4" s="7" t="s">
        <v>17</v>
      </c>
      <c r="I4" s="9">
        <v>44195</v>
      </c>
    </row>
    <row r="5" spans="1:9" x14ac:dyDescent="0.15">
      <c r="A5" s="6">
        <v>4</v>
      </c>
      <c r="B5" s="7" t="s">
        <v>9</v>
      </c>
      <c r="C5" s="8">
        <v>1883</v>
      </c>
      <c r="D5" s="9">
        <v>45395</v>
      </c>
      <c r="E5" s="13" t="str">
        <f>+HYPERLINK("http://trademark.i-assist.jp/data/china/image_1883th/59281614.pdf","59281614")</f>
        <v>59281614</v>
      </c>
      <c r="F5" s="7" t="s">
        <v>18</v>
      </c>
      <c r="G5" s="7" t="s">
        <v>19</v>
      </c>
      <c r="H5" s="7" t="s">
        <v>20</v>
      </c>
      <c r="I5" s="9">
        <v>44455</v>
      </c>
    </row>
    <row r="6" spans="1:9" ht="27" x14ac:dyDescent="0.15">
      <c r="A6" s="6">
        <v>5</v>
      </c>
      <c r="B6" s="7" t="s">
        <v>9</v>
      </c>
      <c r="C6" s="8">
        <v>1883</v>
      </c>
      <c r="D6" s="9">
        <v>45395</v>
      </c>
      <c r="E6" s="13" t="str">
        <f>+HYPERLINK("http://trademark.i-assist.jp/data/china/image_1883th/60971070.pdf","60971070")</f>
        <v>60971070</v>
      </c>
      <c r="F6" s="7" t="s">
        <v>21</v>
      </c>
      <c r="G6" s="7" t="s">
        <v>22</v>
      </c>
      <c r="H6" s="7" t="s">
        <v>23</v>
      </c>
      <c r="I6" s="9">
        <v>44529</v>
      </c>
    </row>
    <row r="7" spans="1:9" x14ac:dyDescent="0.15">
      <c r="A7" s="6">
        <v>6</v>
      </c>
      <c r="B7" s="7" t="s">
        <v>9</v>
      </c>
      <c r="C7" s="8">
        <v>1883</v>
      </c>
      <c r="D7" s="9">
        <v>45395</v>
      </c>
      <c r="E7" s="13" t="str">
        <f>+HYPERLINK("http://trademark.i-assist.jp/data/china/image_1883th/62789805.pdf","62789805")</f>
        <v>62789805</v>
      </c>
      <c r="F7" s="7" t="s">
        <v>24</v>
      </c>
      <c r="G7" s="7" t="s">
        <v>25</v>
      </c>
      <c r="H7" s="7" t="s">
        <v>26</v>
      </c>
      <c r="I7" s="9">
        <v>44615</v>
      </c>
    </row>
    <row r="8" spans="1:9" x14ac:dyDescent="0.15">
      <c r="A8" s="6">
        <v>7</v>
      </c>
      <c r="B8" s="7" t="s">
        <v>9</v>
      </c>
      <c r="C8" s="8">
        <v>1883</v>
      </c>
      <c r="D8" s="9">
        <v>45395</v>
      </c>
      <c r="E8" s="13" t="str">
        <f>+HYPERLINK("http://trademark.i-assist.jp/data/china/image_1883th/64160516.pdf","64160516")</f>
        <v>64160516</v>
      </c>
      <c r="F8" s="7" t="s">
        <v>27</v>
      </c>
      <c r="G8" s="7" t="s">
        <v>28</v>
      </c>
      <c r="H8" s="7" t="s">
        <v>29</v>
      </c>
      <c r="I8" s="9">
        <v>44673</v>
      </c>
    </row>
    <row r="9" spans="1:9" x14ac:dyDescent="0.15">
      <c r="A9" s="6">
        <v>8</v>
      </c>
      <c r="B9" s="7" t="s">
        <v>9</v>
      </c>
      <c r="C9" s="8">
        <v>1883</v>
      </c>
      <c r="D9" s="9">
        <v>45395</v>
      </c>
      <c r="E9" s="13" t="str">
        <f>+HYPERLINK("http://trademark.i-assist.jp/data/china/image_1883th/64909542.pdf","64909542")</f>
        <v>64909542</v>
      </c>
      <c r="F9" s="7" t="s">
        <v>30</v>
      </c>
      <c r="G9" s="7" t="s">
        <v>31</v>
      </c>
      <c r="H9" s="7" t="s">
        <v>32</v>
      </c>
      <c r="I9" s="9">
        <v>44707</v>
      </c>
    </row>
    <row r="10" spans="1:9" x14ac:dyDescent="0.15">
      <c r="A10" s="6">
        <v>9</v>
      </c>
      <c r="B10" s="7" t="s">
        <v>9</v>
      </c>
      <c r="C10" s="8">
        <v>1883</v>
      </c>
      <c r="D10" s="9">
        <v>45395</v>
      </c>
      <c r="E10" s="13" t="str">
        <f>+HYPERLINK("http://trademark.i-assist.jp/data/china/image_1883th/64918970.pdf","64918970")</f>
        <v>64918970</v>
      </c>
      <c r="F10" s="7" t="s">
        <v>33</v>
      </c>
      <c r="G10" s="7" t="s">
        <v>34</v>
      </c>
      <c r="H10" s="7" t="s">
        <v>35</v>
      </c>
      <c r="I10" s="9">
        <v>44708</v>
      </c>
    </row>
    <row r="11" spans="1:9" x14ac:dyDescent="0.15">
      <c r="A11" s="6">
        <v>10</v>
      </c>
      <c r="B11" s="7" t="s">
        <v>9</v>
      </c>
      <c r="C11" s="8">
        <v>1883</v>
      </c>
      <c r="D11" s="9">
        <v>45395</v>
      </c>
      <c r="E11" s="13" t="str">
        <f>+HYPERLINK("http://trademark.i-assist.jp/data/china/image_1883th/65070505.pdf","65070505")</f>
        <v>65070505</v>
      </c>
      <c r="F11" s="7" t="s">
        <v>36</v>
      </c>
      <c r="G11" s="7" t="s">
        <v>37</v>
      </c>
      <c r="H11" s="7" t="s">
        <v>38</v>
      </c>
      <c r="I11" s="9">
        <v>44714</v>
      </c>
    </row>
    <row r="12" spans="1:9" x14ac:dyDescent="0.15">
      <c r="A12" s="6">
        <v>11</v>
      </c>
      <c r="B12" s="7" t="s">
        <v>9</v>
      </c>
      <c r="C12" s="8">
        <v>1883</v>
      </c>
      <c r="D12" s="9">
        <v>45395</v>
      </c>
      <c r="E12" s="13" t="str">
        <f>+HYPERLINK("http://trademark.i-assist.jp/data/china/image_1883th/65560911.pdf","65560911")</f>
        <v>65560911</v>
      </c>
      <c r="F12" s="7" t="s">
        <v>39</v>
      </c>
      <c r="G12" s="7" t="s">
        <v>40</v>
      </c>
      <c r="H12" s="7" t="s">
        <v>41</v>
      </c>
      <c r="I12" s="9">
        <v>44739</v>
      </c>
    </row>
    <row r="13" spans="1:9" x14ac:dyDescent="0.15">
      <c r="A13" s="6">
        <v>12</v>
      </c>
      <c r="B13" s="7" t="s">
        <v>9</v>
      </c>
      <c r="C13" s="8">
        <v>1883</v>
      </c>
      <c r="D13" s="9">
        <v>45395</v>
      </c>
      <c r="E13" s="13" t="str">
        <f>+HYPERLINK("http://trademark.i-assist.jp/data/china/image_1883th/65928538.pdf","65928538")</f>
        <v>65928538</v>
      </c>
      <c r="F13" s="7" t="s">
        <v>42</v>
      </c>
      <c r="G13" s="7" t="s">
        <v>43</v>
      </c>
      <c r="H13" s="7" t="s">
        <v>44</v>
      </c>
      <c r="I13" s="9">
        <v>44755</v>
      </c>
    </row>
    <row r="14" spans="1:9" x14ac:dyDescent="0.15">
      <c r="A14" s="6">
        <v>13</v>
      </c>
      <c r="B14" s="7" t="s">
        <v>9</v>
      </c>
      <c r="C14" s="8">
        <v>1883</v>
      </c>
      <c r="D14" s="9">
        <v>45395</v>
      </c>
      <c r="E14" s="13" t="str">
        <f>+HYPERLINK("http://trademark.i-assist.jp/data/china/image_1883th/66143561.pdf","66143561")</f>
        <v>66143561</v>
      </c>
      <c r="F14" s="7" t="s">
        <v>45</v>
      </c>
      <c r="G14" s="7" t="s">
        <v>46</v>
      </c>
      <c r="H14" s="7" t="s">
        <v>47</v>
      </c>
      <c r="I14" s="9">
        <v>44764</v>
      </c>
    </row>
    <row r="15" spans="1:9" x14ac:dyDescent="0.15">
      <c r="A15" s="6">
        <v>14</v>
      </c>
      <c r="B15" s="7" t="s">
        <v>9</v>
      </c>
      <c r="C15" s="8">
        <v>1883</v>
      </c>
      <c r="D15" s="9">
        <v>45395</v>
      </c>
      <c r="E15" s="13" t="str">
        <f>+HYPERLINK("http://trademark.i-assist.jp/data/china/image_1883th/66458375.pdf","66458375")</f>
        <v>66458375</v>
      </c>
      <c r="F15" s="7" t="s">
        <v>48</v>
      </c>
      <c r="G15" s="7" t="s">
        <v>49</v>
      </c>
      <c r="H15" s="7" t="s">
        <v>50</v>
      </c>
      <c r="I15" s="9">
        <v>44781</v>
      </c>
    </row>
    <row r="16" spans="1:9" ht="27" x14ac:dyDescent="0.15">
      <c r="A16" s="6">
        <v>15</v>
      </c>
      <c r="B16" s="7" t="s">
        <v>9</v>
      </c>
      <c r="C16" s="8">
        <v>1883</v>
      </c>
      <c r="D16" s="9">
        <v>45395</v>
      </c>
      <c r="E16" s="13" t="str">
        <f>+HYPERLINK("http://trademark.i-assist.jp/data/china/image_1883th/67463356.pdf","67463356")</f>
        <v>67463356</v>
      </c>
      <c r="F16" s="7" t="s">
        <v>51</v>
      </c>
      <c r="G16" s="7" t="s">
        <v>52</v>
      </c>
      <c r="H16" s="7" t="s">
        <v>53</v>
      </c>
      <c r="I16" s="9">
        <v>44831</v>
      </c>
    </row>
    <row r="17" spans="1:9" ht="27" x14ac:dyDescent="0.15">
      <c r="A17" s="6">
        <v>16</v>
      </c>
      <c r="B17" s="7" t="s">
        <v>9</v>
      </c>
      <c r="C17" s="8">
        <v>1883</v>
      </c>
      <c r="D17" s="9">
        <v>45395</v>
      </c>
      <c r="E17" s="13" t="str">
        <f>+HYPERLINK("http://trademark.i-assist.jp/data/china/image_1883th/67688276.pdf","67688276")</f>
        <v>67688276</v>
      </c>
      <c r="F17" s="7" t="s">
        <v>54</v>
      </c>
      <c r="G17" s="7" t="s">
        <v>55</v>
      </c>
      <c r="H17" s="7" t="s">
        <v>56</v>
      </c>
      <c r="I17" s="9">
        <v>44846</v>
      </c>
    </row>
    <row r="18" spans="1:9" x14ac:dyDescent="0.15">
      <c r="A18" s="6">
        <v>17</v>
      </c>
      <c r="B18" s="7" t="s">
        <v>9</v>
      </c>
      <c r="C18" s="8">
        <v>1883</v>
      </c>
      <c r="D18" s="9">
        <v>45395</v>
      </c>
      <c r="E18" s="13" t="str">
        <f>+HYPERLINK("http://trademark.i-assist.jp/data/china/image_1883th/67755632.pdf","67755632")</f>
        <v>67755632</v>
      </c>
      <c r="F18" s="7" t="s">
        <v>57</v>
      </c>
      <c r="G18" s="7" t="s">
        <v>58</v>
      </c>
      <c r="H18" s="7" t="s">
        <v>59</v>
      </c>
      <c r="I18" s="9">
        <v>44849</v>
      </c>
    </row>
    <row r="19" spans="1:9" ht="27" x14ac:dyDescent="0.15">
      <c r="A19" s="6">
        <v>18</v>
      </c>
      <c r="B19" s="7" t="s">
        <v>9</v>
      </c>
      <c r="C19" s="8">
        <v>1883</v>
      </c>
      <c r="D19" s="9">
        <v>45395</v>
      </c>
      <c r="E19" s="13" t="str">
        <f>+HYPERLINK("http://trademark.i-assist.jp/data/china/image_1883th/68395980.pdf","68395980")</f>
        <v>68395980</v>
      </c>
      <c r="F19" s="7" t="s">
        <v>60</v>
      </c>
      <c r="G19" s="7" t="s">
        <v>61</v>
      </c>
      <c r="H19" s="7" t="s">
        <v>62</v>
      </c>
      <c r="I19" s="9">
        <v>44882</v>
      </c>
    </row>
    <row r="20" spans="1:9" x14ac:dyDescent="0.15">
      <c r="A20" s="6">
        <v>19</v>
      </c>
      <c r="B20" s="7" t="s">
        <v>9</v>
      </c>
      <c r="C20" s="8">
        <v>1883</v>
      </c>
      <c r="D20" s="9">
        <v>45395</v>
      </c>
      <c r="E20" s="13" t="str">
        <f>+HYPERLINK("http://trademark.i-assist.jp/data/china/image_1883th/68511811.pdf","68511811")</f>
        <v>68511811</v>
      </c>
      <c r="F20" s="7" t="s">
        <v>63</v>
      </c>
      <c r="G20" s="7" t="s">
        <v>64</v>
      </c>
      <c r="H20" s="7" t="s">
        <v>65</v>
      </c>
      <c r="I20" s="9">
        <v>44888</v>
      </c>
    </row>
    <row r="21" spans="1:9" ht="27" x14ac:dyDescent="0.15">
      <c r="A21" s="6">
        <v>20</v>
      </c>
      <c r="B21" s="7" t="s">
        <v>9</v>
      </c>
      <c r="C21" s="8">
        <v>1883</v>
      </c>
      <c r="D21" s="9">
        <v>45395</v>
      </c>
      <c r="E21" s="13" t="str">
        <f>+HYPERLINK("http://trademark.i-assist.jp/data/china/image_1883th/68846906.pdf","68846906")</f>
        <v>68846906</v>
      </c>
      <c r="F21" s="7" t="s">
        <v>66</v>
      </c>
      <c r="G21" s="7" t="s">
        <v>67</v>
      </c>
      <c r="H21" s="7" t="s">
        <v>62</v>
      </c>
      <c r="I21" s="9">
        <v>44908</v>
      </c>
    </row>
    <row r="22" spans="1:9" x14ac:dyDescent="0.15">
      <c r="A22" s="6">
        <v>21</v>
      </c>
      <c r="B22" s="7" t="s">
        <v>9</v>
      </c>
      <c r="C22" s="8">
        <v>1883</v>
      </c>
      <c r="D22" s="9">
        <v>45395</v>
      </c>
      <c r="E22" s="13" t="str">
        <f>+HYPERLINK("http://trademark.i-assist.jp/data/china/image_1883th/68853686.pdf","68853686")</f>
        <v>68853686</v>
      </c>
      <c r="F22" s="7" t="s">
        <v>68</v>
      </c>
      <c r="G22" s="7" t="s">
        <v>69</v>
      </c>
      <c r="H22" s="7" t="s">
        <v>70</v>
      </c>
      <c r="I22" s="9">
        <v>44909</v>
      </c>
    </row>
    <row r="23" spans="1:9" x14ac:dyDescent="0.15">
      <c r="A23" s="6">
        <v>22</v>
      </c>
      <c r="B23" s="7" t="s">
        <v>9</v>
      </c>
      <c r="C23" s="8">
        <v>1883</v>
      </c>
      <c r="D23" s="9">
        <v>45395</v>
      </c>
      <c r="E23" s="13" t="str">
        <f>+HYPERLINK("http://trademark.i-assist.jp/data/china/image_1883th/68879878.pdf","68879878")</f>
        <v>68879878</v>
      </c>
      <c r="F23" s="7" t="s">
        <v>71</v>
      </c>
      <c r="G23" s="7" t="s">
        <v>72</v>
      </c>
      <c r="H23" s="7" t="s">
        <v>73</v>
      </c>
      <c r="I23" s="9">
        <v>44910</v>
      </c>
    </row>
    <row r="24" spans="1:9" ht="27" x14ac:dyDescent="0.15">
      <c r="A24" s="6">
        <v>23</v>
      </c>
      <c r="B24" s="7" t="s">
        <v>9</v>
      </c>
      <c r="C24" s="8">
        <v>1883</v>
      </c>
      <c r="D24" s="9">
        <v>45395</v>
      </c>
      <c r="E24" s="13" t="str">
        <f>+HYPERLINK("http://trademark.i-assist.jp/data/china/image_1883th/68925645.pdf","68925645")</f>
        <v>68925645</v>
      </c>
      <c r="F24" s="7" t="s">
        <v>74</v>
      </c>
      <c r="G24" s="7" t="s">
        <v>75</v>
      </c>
      <c r="H24" s="7" t="s">
        <v>62</v>
      </c>
      <c r="I24" s="9">
        <v>44914</v>
      </c>
    </row>
    <row r="25" spans="1:9" x14ac:dyDescent="0.15">
      <c r="A25" s="6">
        <v>24</v>
      </c>
      <c r="B25" s="7" t="s">
        <v>9</v>
      </c>
      <c r="C25" s="8">
        <v>1883</v>
      </c>
      <c r="D25" s="9">
        <v>45395</v>
      </c>
      <c r="E25" s="13" t="str">
        <f>+HYPERLINK("http://trademark.i-assist.jp/data/china/image_1883th/69021387.pdf","69021387")</f>
        <v>69021387</v>
      </c>
      <c r="F25" s="7" t="s">
        <v>76</v>
      </c>
      <c r="G25" s="7" t="s">
        <v>77</v>
      </c>
      <c r="H25" s="7" t="s">
        <v>78</v>
      </c>
      <c r="I25" s="9">
        <v>44923</v>
      </c>
    </row>
    <row r="26" spans="1:9" x14ac:dyDescent="0.15">
      <c r="A26" s="6">
        <v>25</v>
      </c>
      <c r="B26" s="7" t="s">
        <v>9</v>
      </c>
      <c r="C26" s="8">
        <v>1883</v>
      </c>
      <c r="D26" s="9">
        <v>45395</v>
      </c>
      <c r="E26" s="13" t="str">
        <f>+HYPERLINK("http://trademark.i-assist.jp/data/china/image_1883th/69355740.pdf","69355740")</f>
        <v>69355740</v>
      </c>
      <c r="F26" s="7" t="s">
        <v>79</v>
      </c>
      <c r="G26" s="7" t="s">
        <v>80</v>
      </c>
      <c r="H26" s="7" t="s">
        <v>81</v>
      </c>
      <c r="I26" s="9">
        <v>44959</v>
      </c>
    </row>
    <row r="27" spans="1:9" x14ac:dyDescent="0.15">
      <c r="A27" s="6">
        <v>26</v>
      </c>
      <c r="B27" s="7" t="s">
        <v>9</v>
      </c>
      <c r="C27" s="8">
        <v>1883</v>
      </c>
      <c r="D27" s="9">
        <v>45395</v>
      </c>
      <c r="E27" s="13" t="str">
        <f>+HYPERLINK("http://trademark.i-assist.jp/data/china/image_1883th/69413480.pdf","69413480")</f>
        <v>69413480</v>
      </c>
      <c r="F27" s="7" t="s">
        <v>82</v>
      </c>
      <c r="G27" s="7" t="s">
        <v>83</v>
      </c>
      <c r="H27" s="7" t="s">
        <v>84</v>
      </c>
      <c r="I27" s="9">
        <v>44963</v>
      </c>
    </row>
    <row r="28" spans="1:9" x14ac:dyDescent="0.15">
      <c r="A28" s="6">
        <v>27</v>
      </c>
      <c r="B28" s="7" t="s">
        <v>9</v>
      </c>
      <c r="C28" s="8">
        <v>1883</v>
      </c>
      <c r="D28" s="9">
        <v>45395</v>
      </c>
      <c r="E28" s="13" t="str">
        <f>+HYPERLINK("http://trademark.i-assist.jp/data/china/image_1883th/69444771.pdf","69444771")</f>
        <v>69444771</v>
      </c>
      <c r="F28" s="7" t="s">
        <v>85</v>
      </c>
      <c r="G28" s="7" t="s">
        <v>86</v>
      </c>
      <c r="H28" s="7" t="s">
        <v>87</v>
      </c>
      <c r="I28" s="9">
        <v>44965</v>
      </c>
    </row>
    <row r="29" spans="1:9" x14ac:dyDescent="0.15">
      <c r="A29" s="6">
        <v>28</v>
      </c>
      <c r="B29" s="7" t="s">
        <v>9</v>
      </c>
      <c r="C29" s="8">
        <v>1883</v>
      </c>
      <c r="D29" s="9">
        <v>45395</v>
      </c>
      <c r="E29" s="13" t="str">
        <f>+HYPERLINK("http://trademark.i-assist.jp/data/china/image_1883th/69606543.pdf","69606543")</f>
        <v>69606543</v>
      </c>
      <c r="F29" s="7" t="s">
        <v>88</v>
      </c>
      <c r="G29" s="7" t="s">
        <v>89</v>
      </c>
      <c r="H29" s="7" t="s">
        <v>90</v>
      </c>
      <c r="I29" s="9">
        <v>44973</v>
      </c>
    </row>
    <row r="30" spans="1:9" x14ac:dyDescent="0.15">
      <c r="A30" s="6">
        <v>29</v>
      </c>
      <c r="B30" s="7" t="s">
        <v>9</v>
      </c>
      <c r="C30" s="8">
        <v>1883</v>
      </c>
      <c r="D30" s="9">
        <v>45395</v>
      </c>
      <c r="E30" s="13" t="str">
        <f>+HYPERLINK("http://trademark.i-assist.jp/data/china/image_1883th/69643822.pdf","69643822")</f>
        <v>69643822</v>
      </c>
      <c r="F30" s="7" t="s">
        <v>91</v>
      </c>
      <c r="G30" s="7" t="s">
        <v>92</v>
      </c>
      <c r="H30" s="7" t="s">
        <v>93</v>
      </c>
      <c r="I30" s="9">
        <v>44974</v>
      </c>
    </row>
    <row r="31" spans="1:9" ht="27" x14ac:dyDescent="0.15">
      <c r="A31" s="6">
        <v>30</v>
      </c>
      <c r="B31" s="7" t="s">
        <v>9</v>
      </c>
      <c r="C31" s="8">
        <v>1883</v>
      </c>
      <c r="D31" s="9">
        <v>45395</v>
      </c>
      <c r="E31" s="13" t="str">
        <f>+HYPERLINK("http://trademark.i-assist.jp/data/china/image_1883th/69674527.pdf","69674527")</f>
        <v>69674527</v>
      </c>
      <c r="F31" s="7" t="s">
        <v>94</v>
      </c>
      <c r="G31" s="7" t="s">
        <v>95</v>
      </c>
      <c r="H31" s="7" t="s">
        <v>62</v>
      </c>
      <c r="I31" s="9">
        <v>44977</v>
      </c>
    </row>
    <row r="32" spans="1:9" x14ac:dyDescent="0.15">
      <c r="A32" s="6">
        <v>31</v>
      </c>
      <c r="B32" s="7" t="s">
        <v>9</v>
      </c>
      <c r="C32" s="8">
        <v>1883</v>
      </c>
      <c r="D32" s="9">
        <v>45395</v>
      </c>
      <c r="E32" s="13" t="str">
        <f>+HYPERLINK("http://trademark.i-assist.jp/data/china/image_1883th/69751409.pdf","69751409")</f>
        <v>69751409</v>
      </c>
      <c r="F32" s="7" t="s">
        <v>96</v>
      </c>
      <c r="G32" s="7" t="s">
        <v>97</v>
      </c>
      <c r="H32" s="7" t="s">
        <v>98</v>
      </c>
      <c r="I32" s="9">
        <v>44980</v>
      </c>
    </row>
    <row r="33" spans="1:9" x14ac:dyDescent="0.15">
      <c r="A33" s="6">
        <v>32</v>
      </c>
      <c r="B33" s="7" t="s">
        <v>9</v>
      </c>
      <c r="C33" s="8">
        <v>1883</v>
      </c>
      <c r="D33" s="9">
        <v>45395</v>
      </c>
      <c r="E33" s="13" t="str">
        <f>+HYPERLINK("http://trademark.i-assist.jp/data/china/image_1883th/69851725.pdf","69851725")</f>
        <v>69851725</v>
      </c>
      <c r="F33" s="7" t="s">
        <v>99</v>
      </c>
      <c r="G33" s="7" t="s">
        <v>100</v>
      </c>
      <c r="H33" s="7" t="s">
        <v>101</v>
      </c>
      <c r="I33" s="9">
        <v>44985</v>
      </c>
    </row>
    <row r="34" spans="1:9" x14ac:dyDescent="0.15">
      <c r="A34" s="6">
        <v>33</v>
      </c>
      <c r="B34" s="7" t="s">
        <v>9</v>
      </c>
      <c r="C34" s="8">
        <v>1883</v>
      </c>
      <c r="D34" s="9">
        <v>45395</v>
      </c>
      <c r="E34" s="13" t="str">
        <f>+HYPERLINK("http://trademark.i-assist.jp/data/china/image_1883th/69873979.pdf","69873979")</f>
        <v>69873979</v>
      </c>
      <c r="F34" s="7" t="s">
        <v>102</v>
      </c>
      <c r="G34" s="7" t="s">
        <v>103</v>
      </c>
      <c r="H34" s="7" t="s">
        <v>104</v>
      </c>
      <c r="I34" s="9">
        <v>44986</v>
      </c>
    </row>
    <row r="35" spans="1:9" x14ac:dyDescent="0.15">
      <c r="A35" s="6">
        <v>34</v>
      </c>
      <c r="B35" s="7" t="s">
        <v>9</v>
      </c>
      <c r="C35" s="8">
        <v>1883</v>
      </c>
      <c r="D35" s="9">
        <v>45395</v>
      </c>
      <c r="E35" s="13" t="str">
        <f>+HYPERLINK("http://trademark.i-assist.jp/data/china/image_1883th/70056598.pdf","70056598")</f>
        <v>70056598</v>
      </c>
      <c r="F35" s="7" t="s">
        <v>105</v>
      </c>
      <c r="G35" s="7" t="s">
        <v>106</v>
      </c>
      <c r="H35" s="7" t="s">
        <v>107</v>
      </c>
      <c r="I35" s="9">
        <v>44993</v>
      </c>
    </row>
    <row r="36" spans="1:9" x14ac:dyDescent="0.15">
      <c r="A36" s="6">
        <v>35</v>
      </c>
      <c r="B36" s="7" t="s">
        <v>9</v>
      </c>
      <c r="C36" s="8">
        <v>1883</v>
      </c>
      <c r="D36" s="9">
        <v>45395</v>
      </c>
      <c r="E36" s="13" t="str">
        <f>+HYPERLINK("http://trademark.i-assist.jp/data/china/image_1883th/70074774.pdf","70074774")</f>
        <v>70074774</v>
      </c>
      <c r="F36" s="7" t="s">
        <v>108</v>
      </c>
      <c r="G36" s="7" t="s">
        <v>109</v>
      </c>
      <c r="H36" s="7" t="s">
        <v>110</v>
      </c>
      <c r="I36" s="9">
        <v>44994</v>
      </c>
    </row>
    <row r="37" spans="1:9" x14ac:dyDescent="0.15">
      <c r="A37" s="6">
        <v>36</v>
      </c>
      <c r="B37" s="7" t="s">
        <v>9</v>
      </c>
      <c r="C37" s="8">
        <v>1883</v>
      </c>
      <c r="D37" s="9">
        <v>45395</v>
      </c>
      <c r="E37" s="13" t="str">
        <f>+HYPERLINK("http://trademark.i-assist.jp/data/china/image_1883th/70156728.pdf","70156728")</f>
        <v>70156728</v>
      </c>
      <c r="F37" s="7" t="s">
        <v>111</v>
      </c>
      <c r="G37" s="7" t="s">
        <v>112</v>
      </c>
      <c r="H37" s="7" t="s">
        <v>113</v>
      </c>
      <c r="I37" s="9">
        <v>44998</v>
      </c>
    </row>
    <row r="38" spans="1:9" x14ac:dyDescent="0.15">
      <c r="A38" s="6">
        <v>37</v>
      </c>
      <c r="B38" s="7" t="s">
        <v>9</v>
      </c>
      <c r="C38" s="8">
        <v>1883</v>
      </c>
      <c r="D38" s="9">
        <v>45395</v>
      </c>
      <c r="E38" s="13" t="str">
        <f>+HYPERLINK("http://trademark.i-assist.jp/data/china/image_1883th/70238771.pdf","70238771")</f>
        <v>70238771</v>
      </c>
      <c r="F38" s="7" t="s">
        <v>114</v>
      </c>
      <c r="G38" s="7" t="s">
        <v>115</v>
      </c>
      <c r="H38" s="7" t="s">
        <v>116</v>
      </c>
      <c r="I38" s="9">
        <v>45001</v>
      </c>
    </row>
    <row r="39" spans="1:9" ht="27" x14ac:dyDescent="0.15">
      <c r="A39" s="6">
        <v>38</v>
      </c>
      <c r="B39" s="7" t="s">
        <v>9</v>
      </c>
      <c r="C39" s="8">
        <v>1883</v>
      </c>
      <c r="D39" s="9">
        <v>45395</v>
      </c>
      <c r="E39" s="13" t="str">
        <f>+HYPERLINK("http://trademark.i-assist.jp/data/china/image_1883th/70265163.pdf","70265163")</f>
        <v>70265163</v>
      </c>
      <c r="F39" s="7" t="s">
        <v>117</v>
      </c>
      <c r="G39" s="7" t="s">
        <v>118</v>
      </c>
      <c r="H39" s="7" t="s">
        <v>119</v>
      </c>
      <c r="I39" s="9">
        <v>45002</v>
      </c>
    </row>
    <row r="40" spans="1:9" ht="27" x14ac:dyDescent="0.15">
      <c r="A40" s="6">
        <v>39</v>
      </c>
      <c r="B40" s="7" t="s">
        <v>9</v>
      </c>
      <c r="C40" s="8">
        <v>1883</v>
      </c>
      <c r="D40" s="9">
        <v>45395</v>
      </c>
      <c r="E40" s="13" t="str">
        <f>+HYPERLINK("http://trademark.i-assist.jp/data/china/image_1883th/70330426.pdf","70330426")</f>
        <v>70330426</v>
      </c>
      <c r="F40" s="7" t="s">
        <v>120</v>
      </c>
      <c r="G40" s="7" t="s">
        <v>121</v>
      </c>
      <c r="H40" s="7" t="s">
        <v>122</v>
      </c>
      <c r="I40" s="9">
        <v>45006</v>
      </c>
    </row>
    <row r="41" spans="1:9" x14ac:dyDescent="0.15">
      <c r="A41" s="6">
        <v>40</v>
      </c>
      <c r="B41" s="7" t="s">
        <v>9</v>
      </c>
      <c r="C41" s="8">
        <v>1883</v>
      </c>
      <c r="D41" s="9">
        <v>45395</v>
      </c>
      <c r="E41" s="13" t="str">
        <f>+HYPERLINK("http://trademark.i-assist.jp/data/china/image_1883th/70414471.pdf","70414471")</f>
        <v>70414471</v>
      </c>
      <c r="F41" s="7" t="s">
        <v>123</v>
      </c>
      <c r="G41" s="7" t="s">
        <v>124</v>
      </c>
      <c r="H41" s="7" t="s">
        <v>125</v>
      </c>
      <c r="I41" s="9">
        <v>45008</v>
      </c>
    </row>
    <row r="42" spans="1:9" x14ac:dyDescent="0.15">
      <c r="A42" s="6">
        <v>41</v>
      </c>
      <c r="B42" s="7" t="s">
        <v>9</v>
      </c>
      <c r="C42" s="8">
        <v>1883</v>
      </c>
      <c r="D42" s="9">
        <v>45395</v>
      </c>
      <c r="E42" s="13" t="str">
        <f>+HYPERLINK("http://trademark.i-assist.jp/data/china/image_1883th/70558698.pdf","70558698")</f>
        <v>70558698</v>
      </c>
      <c r="F42" s="7" t="s">
        <v>126</v>
      </c>
      <c r="G42" s="7" t="s">
        <v>127</v>
      </c>
      <c r="H42" s="7" t="s">
        <v>128</v>
      </c>
      <c r="I42" s="9">
        <v>45014</v>
      </c>
    </row>
    <row r="43" spans="1:9" x14ac:dyDescent="0.15">
      <c r="A43" s="6">
        <v>42</v>
      </c>
      <c r="B43" s="7" t="s">
        <v>9</v>
      </c>
      <c r="C43" s="8">
        <v>1883</v>
      </c>
      <c r="D43" s="9">
        <v>45395</v>
      </c>
      <c r="E43" s="13" t="str">
        <f>+HYPERLINK("http://trademark.i-assist.jp/data/china/image_1883th/70595444.pdf","70595444")</f>
        <v>70595444</v>
      </c>
      <c r="F43" s="7" t="s">
        <v>129</v>
      </c>
      <c r="G43" s="7" t="s">
        <v>130</v>
      </c>
      <c r="H43" s="7" t="s">
        <v>131</v>
      </c>
      <c r="I43" s="9">
        <v>45016</v>
      </c>
    </row>
    <row r="44" spans="1:9" x14ac:dyDescent="0.15">
      <c r="A44" s="6">
        <v>43</v>
      </c>
      <c r="B44" s="7" t="s">
        <v>9</v>
      </c>
      <c r="C44" s="8">
        <v>1883</v>
      </c>
      <c r="D44" s="9">
        <v>45395</v>
      </c>
      <c r="E44" s="13" t="str">
        <f>+HYPERLINK("http://trademark.i-assist.jp/data/china/image_1883th/70605027.pdf","70605027")</f>
        <v>70605027</v>
      </c>
      <c r="F44" s="7" t="s">
        <v>132</v>
      </c>
      <c r="G44" s="7" t="s">
        <v>133</v>
      </c>
      <c r="H44" s="7" t="s">
        <v>134</v>
      </c>
      <c r="I44" s="9">
        <v>45016</v>
      </c>
    </row>
    <row r="45" spans="1:9" x14ac:dyDescent="0.15">
      <c r="A45" s="6">
        <v>44</v>
      </c>
      <c r="B45" s="7" t="s">
        <v>9</v>
      </c>
      <c r="C45" s="8">
        <v>1883</v>
      </c>
      <c r="D45" s="9">
        <v>45395</v>
      </c>
      <c r="E45" s="13" t="str">
        <f>+HYPERLINK("http://trademark.i-assist.jp/data/china/image_1883th/70641817.pdf","70641817")</f>
        <v>70641817</v>
      </c>
      <c r="F45" s="7" t="s">
        <v>135</v>
      </c>
      <c r="G45" s="7" t="s">
        <v>136</v>
      </c>
      <c r="H45" s="7" t="s">
        <v>137</v>
      </c>
      <c r="I45" s="9">
        <v>45019</v>
      </c>
    </row>
    <row r="46" spans="1:9" x14ac:dyDescent="0.15">
      <c r="A46" s="6">
        <v>45</v>
      </c>
      <c r="B46" s="7" t="s">
        <v>9</v>
      </c>
      <c r="C46" s="8">
        <v>1883</v>
      </c>
      <c r="D46" s="9">
        <v>45395</v>
      </c>
      <c r="E46" s="13" t="str">
        <f>+HYPERLINK("http://trademark.i-assist.jp/data/china/image_1883th/70647392.pdf","70647392")</f>
        <v>70647392</v>
      </c>
      <c r="F46" s="7" t="s">
        <v>138</v>
      </c>
      <c r="G46" s="7" t="s">
        <v>139</v>
      </c>
      <c r="H46" s="7" t="s">
        <v>140</v>
      </c>
      <c r="I46" s="9">
        <v>45019</v>
      </c>
    </row>
    <row r="47" spans="1:9" x14ac:dyDescent="0.15">
      <c r="A47" s="6">
        <v>46</v>
      </c>
      <c r="B47" s="7" t="s">
        <v>9</v>
      </c>
      <c r="C47" s="8">
        <v>1883</v>
      </c>
      <c r="D47" s="9">
        <v>45395</v>
      </c>
      <c r="E47" s="13" t="str">
        <f>+HYPERLINK("http://trademark.i-assist.jp/data/china/image_1883th/70685921.pdf","70685921")</f>
        <v>70685921</v>
      </c>
      <c r="F47" s="7" t="s">
        <v>141</v>
      </c>
      <c r="G47" s="7" t="s">
        <v>142</v>
      </c>
      <c r="H47" s="7" t="s">
        <v>143</v>
      </c>
      <c r="I47" s="9">
        <v>45020</v>
      </c>
    </row>
    <row r="48" spans="1:9" ht="27" x14ac:dyDescent="0.15">
      <c r="A48" s="6">
        <v>47</v>
      </c>
      <c r="B48" s="7" t="s">
        <v>9</v>
      </c>
      <c r="C48" s="8">
        <v>1883</v>
      </c>
      <c r="D48" s="9">
        <v>45395</v>
      </c>
      <c r="E48" s="13" t="str">
        <f>+HYPERLINK("http://trademark.i-assist.jp/data/china/image_1883th/70686924.pdf","70686924")</f>
        <v>70686924</v>
      </c>
      <c r="F48" s="7" t="s">
        <v>144</v>
      </c>
      <c r="G48" s="7" t="s">
        <v>145</v>
      </c>
      <c r="H48" s="7" t="s">
        <v>146</v>
      </c>
      <c r="I48" s="9">
        <v>45020</v>
      </c>
    </row>
    <row r="49" spans="1:9" x14ac:dyDescent="0.15">
      <c r="A49" s="6">
        <v>48</v>
      </c>
      <c r="B49" s="7" t="s">
        <v>9</v>
      </c>
      <c r="C49" s="8">
        <v>1883</v>
      </c>
      <c r="D49" s="9">
        <v>45395</v>
      </c>
      <c r="E49" s="13" t="str">
        <f>+HYPERLINK("http://trademark.i-assist.jp/data/china/image_1883th/70779472.pdf","70779472")</f>
        <v>70779472</v>
      </c>
      <c r="F49" s="7" t="s">
        <v>147</v>
      </c>
      <c r="G49" s="7" t="s">
        <v>148</v>
      </c>
      <c r="H49" s="7" t="s">
        <v>149</v>
      </c>
      <c r="I49" s="9">
        <v>45023</v>
      </c>
    </row>
    <row r="50" spans="1:9" x14ac:dyDescent="0.15">
      <c r="A50" s="6">
        <v>49</v>
      </c>
      <c r="B50" s="7" t="s">
        <v>9</v>
      </c>
      <c r="C50" s="8">
        <v>1883</v>
      </c>
      <c r="D50" s="9">
        <v>45395</v>
      </c>
      <c r="E50" s="13" t="str">
        <f>+HYPERLINK("http://trademark.i-assist.jp/data/china/image_1883th/70901902.pdf","70901902")</f>
        <v>70901902</v>
      </c>
      <c r="F50" s="7" t="s">
        <v>150</v>
      </c>
      <c r="G50" s="7" t="s">
        <v>151</v>
      </c>
      <c r="H50" s="7" t="s">
        <v>152</v>
      </c>
      <c r="I50" s="9">
        <v>45030</v>
      </c>
    </row>
    <row r="51" spans="1:9" x14ac:dyDescent="0.15">
      <c r="A51" s="6">
        <v>50</v>
      </c>
      <c r="B51" s="7" t="s">
        <v>9</v>
      </c>
      <c r="C51" s="8">
        <v>1883</v>
      </c>
      <c r="D51" s="9">
        <v>45395</v>
      </c>
      <c r="E51" s="13" t="str">
        <f>+HYPERLINK("http://trademark.i-assist.jp/data/china/image_1883th/71000772.pdf","71000772")</f>
        <v>71000772</v>
      </c>
      <c r="F51" s="7" t="s">
        <v>153</v>
      </c>
      <c r="G51" s="7" t="s">
        <v>154</v>
      </c>
      <c r="H51" s="7" t="s">
        <v>155</v>
      </c>
      <c r="I51" s="9">
        <v>45035</v>
      </c>
    </row>
    <row r="52" spans="1:9" x14ac:dyDescent="0.15">
      <c r="A52" s="6">
        <v>51</v>
      </c>
      <c r="B52" s="7" t="s">
        <v>9</v>
      </c>
      <c r="C52" s="8">
        <v>1883</v>
      </c>
      <c r="D52" s="9">
        <v>45395</v>
      </c>
      <c r="E52" s="13" t="str">
        <f>+HYPERLINK("http://trademark.i-assist.jp/data/china/image_1883th/71020264.pdf","71020264")</f>
        <v>71020264</v>
      </c>
      <c r="F52" s="7" t="s">
        <v>156</v>
      </c>
      <c r="G52" s="7" t="s">
        <v>157</v>
      </c>
      <c r="H52" s="7" t="s">
        <v>158</v>
      </c>
      <c r="I52" s="9">
        <v>45035</v>
      </c>
    </row>
    <row r="53" spans="1:9" x14ac:dyDescent="0.15">
      <c r="A53" s="6">
        <v>52</v>
      </c>
      <c r="B53" s="7" t="s">
        <v>9</v>
      </c>
      <c r="C53" s="8">
        <v>1883</v>
      </c>
      <c r="D53" s="9">
        <v>45395</v>
      </c>
      <c r="E53" s="13" t="str">
        <f>+HYPERLINK("http://trademark.i-assist.jp/data/china/image_1883th/71024865.pdf","71024865")</f>
        <v>71024865</v>
      </c>
      <c r="F53" s="7" t="s">
        <v>159</v>
      </c>
      <c r="G53" s="7" t="s">
        <v>157</v>
      </c>
      <c r="H53" s="7" t="s">
        <v>160</v>
      </c>
      <c r="I53" s="9">
        <v>45035</v>
      </c>
    </row>
    <row r="54" spans="1:9" ht="27" x14ac:dyDescent="0.15">
      <c r="A54" s="6">
        <v>53</v>
      </c>
      <c r="B54" s="7" t="s">
        <v>9</v>
      </c>
      <c r="C54" s="8">
        <v>1883</v>
      </c>
      <c r="D54" s="9">
        <v>45395</v>
      </c>
      <c r="E54" s="13" t="str">
        <f>+HYPERLINK("http://trademark.i-assist.jp/data/china/image_1883th/71025262.pdf","71025262")</f>
        <v>71025262</v>
      </c>
      <c r="F54" s="7" t="s">
        <v>57</v>
      </c>
      <c r="G54" s="7" t="s">
        <v>161</v>
      </c>
      <c r="H54" s="7" t="s">
        <v>162</v>
      </c>
      <c r="I54" s="9">
        <v>45035</v>
      </c>
    </row>
    <row r="55" spans="1:9" x14ac:dyDescent="0.15">
      <c r="A55" s="6">
        <v>54</v>
      </c>
      <c r="B55" s="7" t="s">
        <v>9</v>
      </c>
      <c r="C55" s="8">
        <v>1883</v>
      </c>
      <c r="D55" s="9">
        <v>45395</v>
      </c>
      <c r="E55" s="13" t="str">
        <f>+HYPERLINK("http://trademark.i-assist.jp/data/china/image_1883th/71031258.pdf","71031258")</f>
        <v>71031258</v>
      </c>
      <c r="F55" s="7" t="s">
        <v>163</v>
      </c>
      <c r="G55" s="7" t="s">
        <v>164</v>
      </c>
      <c r="H55" s="7" t="s">
        <v>165</v>
      </c>
      <c r="I55" s="9">
        <v>45036</v>
      </c>
    </row>
    <row r="56" spans="1:9" x14ac:dyDescent="0.15">
      <c r="A56" s="6">
        <v>55</v>
      </c>
      <c r="B56" s="7" t="s">
        <v>9</v>
      </c>
      <c r="C56" s="8">
        <v>1883</v>
      </c>
      <c r="D56" s="9">
        <v>45395</v>
      </c>
      <c r="E56" s="13" t="str">
        <f>+HYPERLINK("http://trademark.i-assist.jp/data/china/image_1883th/71031272.pdf","71031272")</f>
        <v>71031272</v>
      </c>
      <c r="F56" s="7" t="s">
        <v>166</v>
      </c>
      <c r="G56" s="7" t="s">
        <v>167</v>
      </c>
      <c r="H56" s="7" t="s">
        <v>168</v>
      </c>
      <c r="I56" s="9">
        <v>45036</v>
      </c>
    </row>
    <row r="57" spans="1:9" x14ac:dyDescent="0.15">
      <c r="A57" s="6">
        <v>56</v>
      </c>
      <c r="B57" s="7" t="s">
        <v>9</v>
      </c>
      <c r="C57" s="8">
        <v>1883</v>
      </c>
      <c r="D57" s="9">
        <v>45395</v>
      </c>
      <c r="E57" s="13" t="str">
        <f>+HYPERLINK("http://trademark.i-assist.jp/data/china/image_1883th/71032761.pdf","71032761")</f>
        <v>71032761</v>
      </c>
      <c r="F57" s="7" t="s">
        <v>169</v>
      </c>
      <c r="G57" s="7" t="s">
        <v>170</v>
      </c>
      <c r="H57" s="7" t="s">
        <v>171</v>
      </c>
      <c r="I57" s="9">
        <v>45036</v>
      </c>
    </row>
    <row r="58" spans="1:9" x14ac:dyDescent="0.15">
      <c r="A58" s="6">
        <v>57</v>
      </c>
      <c r="B58" s="7" t="s">
        <v>9</v>
      </c>
      <c r="C58" s="8">
        <v>1883</v>
      </c>
      <c r="D58" s="9">
        <v>45395</v>
      </c>
      <c r="E58" s="13" t="str">
        <f>+HYPERLINK("http://trademark.i-assist.jp/data/china/image_1883th/71033453.pdf","71033453")</f>
        <v>71033453</v>
      </c>
      <c r="F58" s="7" t="s">
        <v>172</v>
      </c>
      <c r="G58" s="7" t="s">
        <v>173</v>
      </c>
      <c r="H58" s="7" t="s">
        <v>174</v>
      </c>
      <c r="I58" s="9">
        <v>45036</v>
      </c>
    </row>
    <row r="59" spans="1:9" x14ac:dyDescent="0.15">
      <c r="A59" s="6">
        <v>58</v>
      </c>
      <c r="B59" s="7" t="s">
        <v>9</v>
      </c>
      <c r="C59" s="8">
        <v>1883</v>
      </c>
      <c r="D59" s="9">
        <v>45395</v>
      </c>
      <c r="E59" s="13" t="str">
        <f>+HYPERLINK("http://trademark.i-assist.jp/data/china/image_1883th/71039017.pdf","71039017")</f>
        <v>71039017</v>
      </c>
      <c r="F59" s="7" t="s">
        <v>175</v>
      </c>
      <c r="G59" s="7" t="s">
        <v>176</v>
      </c>
      <c r="H59" s="7" t="s">
        <v>177</v>
      </c>
      <c r="I59" s="9">
        <v>45036</v>
      </c>
    </row>
    <row r="60" spans="1:9" x14ac:dyDescent="0.15">
      <c r="A60" s="6">
        <v>59</v>
      </c>
      <c r="B60" s="7" t="s">
        <v>9</v>
      </c>
      <c r="C60" s="8">
        <v>1883</v>
      </c>
      <c r="D60" s="9">
        <v>45395</v>
      </c>
      <c r="E60" s="13" t="str">
        <f>+HYPERLINK("http://trademark.i-assist.jp/data/china/image_1883th/71050610.pdf","71050610")</f>
        <v>71050610</v>
      </c>
      <c r="F60" s="7" t="s">
        <v>178</v>
      </c>
      <c r="G60" s="7" t="s">
        <v>167</v>
      </c>
      <c r="H60" s="7" t="s">
        <v>179</v>
      </c>
      <c r="I60" s="9">
        <v>45036</v>
      </c>
    </row>
    <row r="61" spans="1:9" ht="27" x14ac:dyDescent="0.15">
      <c r="A61" s="6">
        <v>60</v>
      </c>
      <c r="B61" s="7" t="s">
        <v>9</v>
      </c>
      <c r="C61" s="8">
        <v>1883</v>
      </c>
      <c r="D61" s="9">
        <v>45395</v>
      </c>
      <c r="E61" s="13" t="str">
        <f>+HYPERLINK("http://trademark.i-assist.jp/data/china/image_1883th/71053091.pdf","71053091")</f>
        <v>71053091</v>
      </c>
      <c r="F61" s="7" t="s">
        <v>180</v>
      </c>
      <c r="G61" s="7" t="s">
        <v>181</v>
      </c>
      <c r="H61" s="7" t="s">
        <v>182</v>
      </c>
      <c r="I61" s="9">
        <v>45036</v>
      </c>
    </row>
    <row r="62" spans="1:9" x14ac:dyDescent="0.15">
      <c r="A62" s="6">
        <v>61</v>
      </c>
      <c r="B62" s="7" t="s">
        <v>9</v>
      </c>
      <c r="C62" s="8">
        <v>1883</v>
      </c>
      <c r="D62" s="9">
        <v>45395</v>
      </c>
      <c r="E62" s="13" t="str">
        <f>+HYPERLINK("http://trademark.i-assist.jp/data/china/image_1883th/71057603.pdf","71057603")</f>
        <v>71057603</v>
      </c>
      <c r="F62" s="7" t="s">
        <v>183</v>
      </c>
      <c r="G62" s="7" t="s">
        <v>184</v>
      </c>
      <c r="H62" s="7" t="s">
        <v>185</v>
      </c>
      <c r="I62" s="9">
        <v>45036</v>
      </c>
    </row>
    <row r="63" spans="1:9" x14ac:dyDescent="0.15">
      <c r="A63" s="6">
        <v>62</v>
      </c>
      <c r="B63" s="7" t="s">
        <v>9</v>
      </c>
      <c r="C63" s="8">
        <v>1883</v>
      </c>
      <c r="D63" s="9">
        <v>45395</v>
      </c>
      <c r="E63" s="13" t="str">
        <f>+HYPERLINK("http://trademark.i-assist.jp/data/china/image_1883th/71060328.pdf","71060328")</f>
        <v>71060328</v>
      </c>
      <c r="F63" s="7" t="s">
        <v>186</v>
      </c>
      <c r="G63" s="7" t="s">
        <v>124</v>
      </c>
      <c r="H63" s="7" t="s">
        <v>187</v>
      </c>
      <c r="I63" s="9">
        <v>45037</v>
      </c>
    </row>
    <row r="64" spans="1:9" x14ac:dyDescent="0.15">
      <c r="A64" s="6">
        <v>63</v>
      </c>
      <c r="B64" s="7" t="s">
        <v>9</v>
      </c>
      <c r="C64" s="8">
        <v>1883</v>
      </c>
      <c r="D64" s="9">
        <v>45395</v>
      </c>
      <c r="E64" s="13" t="str">
        <f>+HYPERLINK("http://trademark.i-assist.jp/data/china/image_1883th/71099437.pdf","71099437")</f>
        <v>71099437</v>
      </c>
      <c r="F64" s="7" t="s">
        <v>188</v>
      </c>
      <c r="G64" s="7" t="s">
        <v>189</v>
      </c>
      <c r="H64" s="7" t="s">
        <v>190</v>
      </c>
      <c r="I64" s="9">
        <v>45039</v>
      </c>
    </row>
    <row r="65" spans="1:9" x14ac:dyDescent="0.15">
      <c r="A65" s="6">
        <v>64</v>
      </c>
      <c r="B65" s="7" t="s">
        <v>9</v>
      </c>
      <c r="C65" s="8">
        <v>1883</v>
      </c>
      <c r="D65" s="9">
        <v>45395</v>
      </c>
      <c r="E65" s="13" t="str">
        <f>+HYPERLINK("http://trademark.i-assist.jp/data/china/image_1883th/71139850.pdf","71139850")</f>
        <v>71139850</v>
      </c>
      <c r="F65" s="7" t="s">
        <v>191</v>
      </c>
      <c r="G65" s="7" t="s">
        <v>192</v>
      </c>
      <c r="H65" s="7" t="s">
        <v>193</v>
      </c>
      <c r="I65" s="9">
        <v>45040</v>
      </c>
    </row>
    <row r="66" spans="1:9" ht="27" x14ac:dyDescent="0.15">
      <c r="A66" s="6">
        <v>65</v>
      </c>
      <c r="B66" s="7" t="s">
        <v>9</v>
      </c>
      <c r="C66" s="8">
        <v>1883</v>
      </c>
      <c r="D66" s="9">
        <v>45395</v>
      </c>
      <c r="E66" s="13" t="str">
        <f>+HYPERLINK("http://trademark.i-assist.jp/data/china/image_1883th/71159522.pdf","71159522")</f>
        <v>71159522</v>
      </c>
      <c r="F66" s="7" t="s">
        <v>194</v>
      </c>
      <c r="G66" s="7" t="s">
        <v>195</v>
      </c>
      <c r="H66" s="7" t="s">
        <v>196</v>
      </c>
      <c r="I66" s="9">
        <v>45041</v>
      </c>
    </row>
    <row r="67" spans="1:9" ht="27" x14ac:dyDescent="0.15">
      <c r="A67" s="6">
        <v>66</v>
      </c>
      <c r="B67" s="7" t="s">
        <v>9</v>
      </c>
      <c r="C67" s="8">
        <v>1883</v>
      </c>
      <c r="D67" s="9">
        <v>45395</v>
      </c>
      <c r="E67" s="13" t="str">
        <f>+HYPERLINK("http://trademark.i-assist.jp/data/china/image_1883th/71177948.pdf","71177948")</f>
        <v>71177948</v>
      </c>
      <c r="F67" s="7" t="s">
        <v>197</v>
      </c>
      <c r="G67" s="7" t="s">
        <v>195</v>
      </c>
      <c r="H67" s="7" t="s">
        <v>198</v>
      </c>
      <c r="I67" s="9">
        <v>45041</v>
      </c>
    </row>
    <row r="68" spans="1:9" x14ac:dyDescent="0.15">
      <c r="A68" s="6">
        <v>67</v>
      </c>
      <c r="B68" s="7" t="s">
        <v>9</v>
      </c>
      <c r="C68" s="8">
        <v>1883</v>
      </c>
      <c r="D68" s="9">
        <v>45395</v>
      </c>
      <c r="E68" s="13" t="str">
        <f>+HYPERLINK("http://trademark.i-assist.jp/data/china/image_1883th/71178007.pdf","71178007")</f>
        <v>71178007</v>
      </c>
      <c r="F68" s="7" t="s">
        <v>199</v>
      </c>
      <c r="G68" s="7" t="s">
        <v>200</v>
      </c>
      <c r="H68" s="7" t="s">
        <v>201</v>
      </c>
      <c r="I68" s="9">
        <v>45041</v>
      </c>
    </row>
    <row r="69" spans="1:9" x14ac:dyDescent="0.15">
      <c r="A69" s="6">
        <v>68</v>
      </c>
      <c r="B69" s="7" t="s">
        <v>9</v>
      </c>
      <c r="C69" s="8">
        <v>1883</v>
      </c>
      <c r="D69" s="9">
        <v>45395</v>
      </c>
      <c r="E69" s="13" t="str">
        <f>+HYPERLINK("http://trademark.i-assist.jp/data/china/image_1883th/71178952.pdf","71178952")</f>
        <v>71178952</v>
      </c>
      <c r="F69" s="7" t="s">
        <v>202</v>
      </c>
      <c r="G69" s="7" t="s">
        <v>203</v>
      </c>
      <c r="H69" s="7" t="s">
        <v>204</v>
      </c>
      <c r="I69" s="9">
        <v>45041</v>
      </c>
    </row>
    <row r="70" spans="1:9" x14ac:dyDescent="0.15">
      <c r="A70" s="6">
        <v>69</v>
      </c>
      <c r="B70" s="7" t="s">
        <v>9</v>
      </c>
      <c r="C70" s="8">
        <v>1883</v>
      </c>
      <c r="D70" s="9">
        <v>45395</v>
      </c>
      <c r="E70" s="13" t="str">
        <f>+HYPERLINK("http://trademark.i-assist.jp/data/china/image_1883th/71292833.pdf","71292833")</f>
        <v>71292833</v>
      </c>
      <c r="F70" s="7" t="s">
        <v>205</v>
      </c>
      <c r="G70" s="7" t="s">
        <v>206</v>
      </c>
      <c r="H70" s="7" t="s">
        <v>207</v>
      </c>
      <c r="I70" s="9">
        <v>45050</v>
      </c>
    </row>
    <row r="71" spans="1:9" ht="27" x14ac:dyDescent="0.15">
      <c r="A71" s="6">
        <v>70</v>
      </c>
      <c r="B71" s="7" t="s">
        <v>9</v>
      </c>
      <c r="C71" s="8">
        <v>1883</v>
      </c>
      <c r="D71" s="9">
        <v>45395</v>
      </c>
      <c r="E71" s="13" t="str">
        <f>+HYPERLINK("http://trademark.i-assist.jp/data/china/image_1883th/71311226.pdf","71311226")</f>
        <v>71311226</v>
      </c>
      <c r="F71" s="7" t="s">
        <v>208</v>
      </c>
      <c r="G71" s="7" t="s">
        <v>209</v>
      </c>
      <c r="H71" s="7" t="s">
        <v>210</v>
      </c>
      <c r="I71" s="9">
        <v>45050</v>
      </c>
    </row>
    <row r="72" spans="1:9" x14ac:dyDescent="0.15">
      <c r="A72" s="6">
        <v>71</v>
      </c>
      <c r="B72" s="7" t="s">
        <v>9</v>
      </c>
      <c r="C72" s="8">
        <v>1883</v>
      </c>
      <c r="D72" s="9">
        <v>45395</v>
      </c>
      <c r="E72" s="13" t="str">
        <f>+HYPERLINK("http://trademark.i-assist.jp/data/china/image_1883th/71354781.pdf","71354781")</f>
        <v>71354781</v>
      </c>
      <c r="F72" s="7" t="s">
        <v>211</v>
      </c>
      <c r="G72" s="7" t="s">
        <v>212</v>
      </c>
      <c r="H72" s="7" t="s">
        <v>213</v>
      </c>
      <c r="I72" s="9">
        <v>45052</v>
      </c>
    </row>
    <row r="73" spans="1:9" ht="27" x14ac:dyDescent="0.15">
      <c r="A73" s="6">
        <v>72</v>
      </c>
      <c r="B73" s="7" t="s">
        <v>9</v>
      </c>
      <c r="C73" s="8">
        <v>1883</v>
      </c>
      <c r="D73" s="9">
        <v>45395</v>
      </c>
      <c r="E73" s="13" t="str">
        <f>+HYPERLINK("http://trademark.i-assist.jp/data/china/image_1883th/71444872.pdf","71444872")</f>
        <v>71444872</v>
      </c>
      <c r="F73" s="7" t="s">
        <v>214</v>
      </c>
      <c r="G73" s="7" t="s">
        <v>215</v>
      </c>
      <c r="H73" s="7" t="s">
        <v>216</v>
      </c>
      <c r="I73" s="9">
        <v>45056</v>
      </c>
    </row>
    <row r="74" spans="1:9" ht="27" x14ac:dyDescent="0.15">
      <c r="A74" s="6">
        <v>73</v>
      </c>
      <c r="B74" s="7" t="s">
        <v>9</v>
      </c>
      <c r="C74" s="8">
        <v>1883</v>
      </c>
      <c r="D74" s="9">
        <v>45395</v>
      </c>
      <c r="E74" s="13" t="str">
        <f>+HYPERLINK("http://trademark.i-assist.jp/data/china/image_1883th/71462465.pdf","71462465")</f>
        <v>71462465</v>
      </c>
      <c r="F74" s="7" t="s">
        <v>217</v>
      </c>
      <c r="G74" s="7" t="s">
        <v>218</v>
      </c>
      <c r="H74" s="7" t="s">
        <v>219</v>
      </c>
      <c r="I74" s="9">
        <v>45056</v>
      </c>
    </row>
    <row r="75" spans="1:9" x14ac:dyDescent="0.15">
      <c r="A75" s="6">
        <v>74</v>
      </c>
      <c r="B75" s="7" t="s">
        <v>9</v>
      </c>
      <c r="C75" s="8">
        <v>1883</v>
      </c>
      <c r="D75" s="9">
        <v>45395</v>
      </c>
      <c r="E75" s="13" t="str">
        <f>+HYPERLINK("http://trademark.i-assist.jp/data/china/image_1883th/71564424.pdf","71564424")</f>
        <v>71564424</v>
      </c>
      <c r="F75" s="7" t="s">
        <v>220</v>
      </c>
      <c r="G75" s="7" t="s">
        <v>124</v>
      </c>
      <c r="H75" s="7" t="s">
        <v>221</v>
      </c>
      <c r="I75" s="9">
        <v>45061</v>
      </c>
    </row>
    <row r="76" spans="1:9" x14ac:dyDescent="0.15">
      <c r="A76" s="6">
        <v>75</v>
      </c>
      <c r="B76" s="7" t="s">
        <v>9</v>
      </c>
      <c r="C76" s="8">
        <v>1883</v>
      </c>
      <c r="D76" s="9">
        <v>45395</v>
      </c>
      <c r="E76" s="13" t="str">
        <f>+HYPERLINK("http://trademark.i-assist.jp/data/china/image_1883th/71654676.pdf","71654676")</f>
        <v>71654676</v>
      </c>
      <c r="F76" s="7" t="s">
        <v>222</v>
      </c>
      <c r="G76" s="7" t="s">
        <v>124</v>
      </c>
      <c r="H76" s="7" t="s">
        <v>223</v>
      </c>
      <c r="I76" s="9">
        <v>45064</v>
      </c>
    </row>
    <row r="77" spans="1:9" x14ac:dyDescent="0.15">
      <c r="A77" s="6">
        <v>76</v>
      </c>
      <c r="B77" s="7" t="s">
        <v>9</v>
      </c>
      <c r="C77" s="8">
        <v>1883</v>
      </c>
      <c r="D77" s="9">
        <v>45395</v>
      </c>
      <c r="E77" s="13" t="str">
        <f>+HYPERLINK("http://trademark.i-assist.jp/data/china/image_1883th/71666931.pdf","71666931")</f>
        <v>71666931</v>
      </c>
      <c r="F77" s="7" t="s">
        <v>224</v>
      </c>
      <c r="G77" s="7" t="s">
        <v>225</v>
      </c>
      <c r="H77" s="7" t="s">
        <v>226</v>
      </c>
      <c r="I77" s="9">
        <v>45065</v>
      </c>
    </row>
    <row r="78" spans="1:9" x14ac:dyDescent="0.15">
      <c r="A78" s="6">
        <v>77</v>
      </c>
      <c r="B78" s="7" t="s">
        <v>9</v>
      </c>
      <c r="C78" s="8">
        <v>1883</v>
      </c>
      <c r="D78" s="9">
        <v>45395</v>
      </c>
      <c r="E78" s="13" t="str">
        <f>+HYPERLINK("http://trademark.i-assist.jp/data/china/image_1883th/71689961.pdf","71689961")</f>
        <v>71689961</v>
      </c>
      <c r="F78" s="7" t="s">
        <v>227</v>
      </c>
      <c r="G78" s="7" t="s">
        <v>228</v>
      </c>
      <c r="H78" s="7" t="s">
        <v>229</v>
      </c>
      <c r="I78" s="9">
        <v>45065</v>
      </c>
    </row>
    <row r="79" spans="1:9" x14ac:dyDescent="0.15">
      <c r="A79" s="6">
        <v>78</v>
      </c>
      <c r="B79" s="7" t="s">
        <v>9</v>
      </c>
      <c r="C79" s="8">
        <v>1883</v>
      </c>
      <c r="D79" s="9">
        <v>45395</v>
      </c>
      <c r="E79" s="13" t="str">
        <f>+HYPERLINK("http://trademark.i-assist.jp/data/china/image_1883th/71699138.pdf","71699138")</f>
        <v>71699138</v>
      </c>
      <c r="F79" s="7" t="s">
        <v>230</v>
      </c>
      <c r="G79" s="7" t="s">
        <v>209</v>
      </c>
      <c r="H79" s="7" t="s">
        <v>231</v>
      </c>
      <c r="I79" s="9">
        <v>45067</v>
      </c>
    </row>
    <row r="80" spans="1:9" x14ac:dyDescent="0.15">
      <c r="A80" s="6">
        <v>79</v>
      </c>
      <c r="B80" s="7" t="s">
        <v>9</v>
      </c>
      <c r="C80" s="8">
        <v>1883</v>
      </c>
      <c r="D80" s="9">
        <v>45395</v>
      </c>
      <c r="E80" s="13" t="str">
        <f>+HYPERLINK("http://trademark.i-assist.jp/data/china/image_1883th/71724755.pdf","71724755")</f>
        <v>71724755</v>
      </c>
      <c r="F80" s="7" t="s">
        <v>232</v>
      </c>
      <c r="G80" s="7" t="s">
        <v>124</v>
      </c>
      <c r="H80" s="7" t="s">
        <v>233</v>
      </c>
      <c r="I80" s="9">
        <v>45068</v>
      </c>
    </row>
    <row r="81" spans="1:9" x14ac:dyDescent="0.15">
      <c r="A81" s="6">
        <v>80</v>
      </c>
      <c r="B81" s="7" t="s">
        <v>9</v>
      </c>
      <c r="C81" s="8">
        <v>1883</v>
      </c>
      <c r="D81" s="9">
        <v>45395</v>
      </c>
      <c r="E81" s="13" t="str">
        <f>+HYPERLINK("http://trademark.i-assist.jp/data/china/image_1883th/71724759.pdf","71724759")</f>
        <v>71724759</v>
      </c>
      <c r="F81" s="7" t="s">
        <v>232</v>
      </c>
      <c r="G81" s="7" t="s">
        <v>124</v>
      </c>
      <c r="H81" s="7" t="s">
        <v>234</v>
      </c>
      <c r="I81" s="9">
        <v>45068</v>
      </c>
    </row>
    <row r="82" spans="1:9" x14ac:dyDescent="0.15">
      <c r="A82" s="6">
        <v>81</v>
      </c>
      <c r="B82" s="7" t="s">
        <v>9</v>
      </c>
      <c r="C82" s="8">
        <v>1883</v>
      </c>
      <c r="D82" s="9">
        <v>45395</v>
      </c>
      <c r="E82" s="13" t="str">
        <f>+HYPERLINK("http://trademark.i-assist.jp/data/china/image_1883th/71749085.pdf","71749085")</f>
        <v>71749085</v>
      </c>
      <c r="F82" s="7" t="s">
        <v>235</v>
      </c>
      <c r="G82" s="7" t="s">
        <v>124</v>
      </c>
      <c r="H82" s="7" t="s">
        <v>236</v>
      </c>
      <c r="I82" s="9">
        <v>45069</v>
      </c>
    </row>
    <row r="83" spans="1:9" x14ac:dyDescent="0.15">
      <c r="A83" s="6">
        <v>82</v>
      </c>
      <c r="B83" s="7" t="s">
        <v>9</v>
      </c>
      <c r="C83" s="8">
        <v>1883</v>
      </c>
      <c r="D83" s="9">
        <v>45395</v>
      </c>
      <c r="E83" s="13" t="str">
        <f>+HYPERLINK("http://trademark.i-assist.jp/data/china/image_1883th/71763518.pdf","71763518")</f>
        <v>71763518</v>
      </c>
      <c r="F83" s="7" t="s">
        <v>237</v>
      </c>
      <c r="G83" s="7" t="s">
        <v>124</v>
      </c>
      <c r="H83" s="7" t="s">
        <v>238</v>
      </c>
      <c r="I83" s="9">
        <v>45069</v>
      </c>
    </row>
    <row r="84" spans="1:9" x14ac:dyDescent="0.15">
      <c r="A84" s="6">
        <v>83</v>
      </c>
      <c r="B84" s="7" t="s">
        <v>9</v>
      </c>
      <c r="C84" s="8">
        <v>1883</v>
      </c>
      <c r="D84" s="9">
        <v>45395</v>
      </c>
      <c r="E84" s="13" t="str">
        <f>+HYPERLINK("http://trademark.i-assist.jp/data/china/image_1883th/71763525.pdf","71763525")</f>
        <v>71763525</v>
      </c>
      <c r="F84" s="7" t="s">
        <v>239</v>
      </c>
      <c r="G84" s="7" t="s">
        <v>124</v>
      </c>
      <c r="H84" s="7" t="s">
        <v>240</v>
      </c>
      <c r="I84" s="9">
        <v>45069</v>
      </c>
    </row>
    <row r="85" spans="1:9" x14ac:dyDescent="0.15">
      <c r="A85" s="6">
        <v>84</v>
      </c>
      <c r="B85" s="7" t="s">
        <v>9</v>
      </c>
      <c r="C85" s="8">
        <v>1883</v>
      </c>
      <c r="D85" s="9">
        <v>45395</v>
      </c>
      <c r="E85" s="13" t="str">
        <f>+HYPERLINK("http://trademark.i-assist.jp/data/china/image_1883th/71789846.pdf","71789846")</f>
        <v>71789846</v>
      </c>
      <c r="F85" s="7" t="s">
        <v>241</v>
      </c>
      <c r="G85" s="7" t="s">
        <v>242</v>
      </c>
      <c r="H85" s="7" t="s">
        <v>243</v>
      </c>
      <c r="I85" s="9">
        <v>45070</v>
      </c>
    </row>
    <row r="86" spans="1:9" x14ac:dyDescent="0.15">
      <c r="A86" s="6">
        <v>85</v>
      </c>
      <c r="B86" s="7" t="s">
        <v>9</v>
      </c>
      <c r="C86" s="8">
        <v>1883</v>
      </c>
      <c r="D86" s="9">
        <v>45395</v>
      </c>
      <c r="E86" s="13" t="str">
        <f>+HYPERLINK("http://trademark.i-assist.jp/data/china/image_1883th/71815065.pdf","71815065")</f>
        <v>71815065</v>
      </c>
      <c r="F86" s="7" t="s">
        <v>244</v>
      </c>
      <c r="G86" s="7" t="s">
        <v>245</v>
      </c>
      <c r="H86" s="7" t="s">
        <v>246</v>
      </c>
      <c r="I86" s="9">
        <v>45071</v>
      </c>
    </row>
    <row r="87" spans="1:9" x14ac:dyDescent="0.15">
      <c r="A87" s="6">
        <v>86</v>
      </c>
      <c r="B87" s="7" t="s">
        <v>9</v>
      </c>
      <c r="C87" s="8">
        <v>1883</v>
      </c>
      <c r="D87" s="9">
        <v>45395</v>
      </c>
      <c r="E87" s="13" t="str">
        <f>+HYPERLINK("http://trademark.i-assist.jp/data/china/image_1883th/71825612.pdf","71825612")</f>
        <v>71825612</v>
      </c>
      <c r="F87" s="7" t="s">
        <v>247</v>
      </c>
      <c r="G87" s="7" t="s">
        <v>248</v>
      </c>
      <c r="H87" s="7" t="s">
        <v>249</v>
      </c>
      <c r="I87" s="9">
        <v>45072</v>
      </c>
    </row>
    <row r="88" spans="1:9" x14ac:dyDescent="0.15">
      <c r="A88" s="6">
        <v>87</v>
      </c>
      <c r="B88" s="7" t="s">
        <v>9</v>
      </c>
      <c r="C88" s="8">
        <v>1883</v>
      </c>
      <c r="D88" s="9">
        <v>45395</v>
      </c>
      <c r="E88" s="13" t="str">
        <f>+HYPERLINK("http://trademark.i-assist.jp/data/china/image_1883th/71866976.pdf","71866976")</f>
        <v>71866976</v>
      </c>
      <c r="F88" s="7" t="s">
        <v>250</v>
      </c>
      <c r="G88" s="7" t="s">
        <v>251</v>
      </c>
      <c r="H88" s="7" t="s">
        <v>252</v>
      </c>
      <c r="I88" s="9">
        <v>45075</v>
      </c>
    </row>
    <row r="89" spans="1:9" x14ac:dyDescent="0.15">
      <c r="A89" s="6">
        <v>88</v>
      </c>
      <c r="B89" s="7" t="s">
        <v>9</v>
      </c>
      <c r="C89" s="8">
        <v>1883</v>
      </c>
      <c r="D89" s="9">
        <v>45395</v>
      </c>
      <c r="E89" s="13" t="str">
        <f>+HYPERLINK("http://trademark.i-assist.jp/data/china/image_1883th/71880844.pdf","71880844")</f>
        <v>71880844</v>
      </c>
      <c r="F89" s="7" t="s">
        <v>253</v>
      </c>
      <c r="G89" s="7" t="s">
        <v>124</v>
      </c>
      <c r="H89" s="7" t="s">
        <v>254</v>
      </c>
      <c r="I89" s="9">
        <v>45075</v>
      </c>
    </row>
    <row r="90" spans="1:9" ht="27" x14ac:dyDescent="0.15">
      <c r="A90" s="6">
        <v>89</v>
      </c>
      <c r="B90" s="7" t="s">
        <v>9</v>
      </c>
      <c r="C90" s="8">
        <v>1883</v>
      </c>
      <c r="D90" s="9">
        <v>45395</v>
      </c>
      <c r="E90" s="13" t="str">
        <f>+HYPERLINK("http://trademark.i-assist.jp/data/china/image_1883th/71890772.pdf","71890772")</f>
        <v>71890772</v>
      </c>
      <c r="F90" s="7" t="s">
        <v>255</v>
      </c>
      <c r="G90" s="7" t="s">
        <v>256</v>
      </c>
      <c r="H90" s="7" t="s">
        <v>257</v>
      </c>
      <c r="I90" s="9">
        <v>45075</v>
      </c>
    </row>
    <row r="91" spans="1:9" x14ac:dyDescent="0.15">
      <c r="A91" s="6">
        <v>90</v>
      </c>
      <c r="B91" s="7" t="s">
        <v>9</v>
      </c>
      <c r="C91" s="8">
        <v>1883</v>
      </c>
      <c r="D91" s="9">
        <v>45395</v>
      </c>
      <c r="E91" s="13" t="str">
        <f>+HYPERLINK("http://trademark.i-assist.jp/data/china/image_1883th/71891255.pdf","71891255")</f>
        <v>71891255</v>
      </c>
      <c r="F91" s="7" t="s">
        <v>258</v>
      </c>
      <c r="G91" s="7" t="s">
        <v>259</v>
      </c>
      <c r="H91" s="7" t="s">
        <v>260</v>
      </c>
      <c r="I91" s="9">
        <v>45075</v>
      </c>
    </row>
    <row r="92" spans="1:9" ht="27" x14ac:dyDescent="0.15">
      <c r="A92" s="6">
        <v>91</v>
      </c>
      <c r="B92" s="7" t="s">
        <v>9</v>
      </c>
      <c r="C92" s="8">
        <v>1883</v>
      </c>
      <c r="D92" s="9">
        <v>45395</v>
      </c>
      <c r="E92" s="13" t="str">
        <f>+HYPERLINK("http://trademark.i-assist.jp/data/china/image_1883th/71905015.pdf","71905015")</f>
        <v>71905015</v>
      </c>
      <c r="F92" s="7" t="s">
        <v>261</v>
      </c>
      <c r="G92" s="7" t="s">
        <v>262</v>
      </c>
      <c r="H92" s="7" t="s">
        <v>263</v>
      </c>
      <c r="I92" s="9">
        <v>45076</v>
      </c>
    </row>
    <row r="93" spans="1:9" x14ac:dyDescent="0.15">
      <c r="A93" s="6">
        <v>92</v>
      </c>
      <c r="B93" s="7" t="s">
        <v>9</v>
      </c>
      <c r="C93" s="8">
        <v>1883</v>
      </c>
      <c r="D93" s="9">
        <v>45395</v>
      </c>
      <c r="E93" s="13" t="str">
        <f>+HYPERLINK("http://trademark.i-assist.jp/data/china/image_1883th/71987057.pdf","71987057")</f>
        <v>71987057</v>
      </c>
      <c r="F93" s="7" t="s">
        <v>264</v>
      </c>
      <c r="G93" s="7" t="s">
        <v>265</v>
      </c>
      <c r="H93" s="7" t="s">
        <v>266</v>
      </c>
      <c r="I93" s="9">
        <v>45079</v>
      </c>
    </row>
    <row r="94" spans="1:9" ht="27" x14ac:dyDescent="0.15">
      <c r="A94" s="6">
        <v>93</v>
      </c>
      <c r="B94" s="7" t="s">
        <v>9</v>
      </c>
      <c r="C94" s="8">
        <v>1883</v>
      </c>
      <c r="D94" s="9">
        <v>45395</v>
      </c>
      <c r="E94" s="13" t="str">
        <f>+HYPERLINK("http://trademark.i-assist.jp/data/china/image_1883th/72000044.pdf","72000044")</f>
        <v>72000044</v>
      </c>
      <c r="F94" s="7" t="s">
        <v>267</v>
      </c>
      <c r="G94" s="7" t="s">
        <v>124</v>
      </c>
      <c r="H94" s="7" t="s">
        <v>268</v>
      </c>
      <c r="I94" s="9">
        <v>45079</v>
      </c>
    </row>
    <row r="95" spans="1:9" ht="27" x14ac:dyDescent="0.15">
      <c r="A95" s="6">
        <v>94</v>
      </c>
      <c r="B95" s="7" t="s">
        <v>9</v>
      </c>
      <c r="C95" s="8">
        <v>1883</v>
      </c>
      <c r="D95" s="9">
        <v>45395</v>
      </c>
      <c r="E95" s="13" t="str">
        <f>+HYPERLINK("http://trademark.i-assist.jp/data/china/image_1883th/72002844.pdf","72002844")</f>
        <v>72002844</v>
      </c>
      <c r="F95" s="7" t="s">
        <v>269</v>
      </c>
      <c r="G95" s="7" t="s">
        <v>270</v>
      </c>
      <c r="H95" s="7" t="s">
        <v>271</v>
      </c>
      <c r="I95" s="9">
        <v>45080</v>
      </c>
    </row>
    <row r="96" spans="1:9" ht="27" x14ac:dyDescent="0.15">
      <c r="A96" s="6">
        <v>95</v>
      </c>
      <c r="B96" s="7" t="s">
        <v>9</v>
      </c>
      <c r="C96" s="8">
        <v>1883</v>
      </c>
      <c r="D96" s="9">
        <v>45395</v>
      </c>
      <c r="E96" s="13" t="str">
        <f>+HYPERLINK("http://trademark.i-assist.jp/data/china/image_1883th/72025268.pdf","72025268")</f>
        <v>72025268</v>
      </c>
      <c r="F96" s="7" t="s">
        <v>272</v>
      </c>
      <c r="G96" s="7" t="s">
        <v>273</v>
      </c>
      <c r="H96" s="7" t="s">
        <v>274</v>
      </c>
      <c r="I96" s="9">
        <v>45082</v>
      </c>
    </row>
    <row r="97" spans="1:9" x14ac:dyDescent="0.15">
      <c r="A97" s="6">
        <v>96</v>
      </c>
      <c r="B97" s="7" t="s">
        <v>9</v>
      </c>
      <c r="C97" s="8">
        <v>1883</v>
      </c>
      <c r="D97" s="9">
        <v>45395</v>
      </c>
      <c r="E97" s="13" t="str">
        <f>+HYPERLINK("http://trademark.i-assist.jp/data/china/image_1883th/72034673.pdf","72034673")</f>
        <v>72034673</v>
      </c>
      <c r="F97" s="7" t="s">
        <v>275</v>
      </c>
      <c r="G97" s="7" t="s">
        <v>276</v>
      </c>
      <c r="H97" s="7" t="s">
        <v>277</v>
      </c>
      <c r="I97" s="9">
        <v>45082</v>
      </c>
    </row>
    <row r="98" spans="1:9" x14ac:dyDescent="0.15">
      <c r="A98" s="6">
        <v>97</v>
      </c>
      <c r="B98" s="7" t="s">
        <v>9</v>
      </c>
      <c r="C98" s="8">
        <v>1883</v>
      </c>
      <c r="D98" s="9">
        <v>45395</v>
      </c>
      <c r="E98" s="13" t="str">
        <f>+HYPERLINK("http://trademark.i-assist.jp/data/china/image_1883th/72079957.pdf","72079957")</f>
        <v>72079957</v>
      </c>
      <c r="F98" s="7" t="s">
        <v>278</v>
      </c>
      <c r="G98" s="7" t="s">
        <v>279</v>
      </c>
      <c r="H98" s="7" t="s">
        <v>280</v>
      </c>
      <c r="I98" s="9">
        <v>45084</v>
      </c>
    </row>
    <row r="99" spans="1:9" x14ac:dyDescent="0.15">
      <c r="A99" s="6">
        <v>98</v>
      </c>
      <c r="B99" s="7" t="s">
        <v>9</v>
      </c>
      <c r="C99" s="8">
        <v>1883</v>
      </c>
      <c r="D99" s="9">
        <v>45395</v>
      </c>
      <c r="E99" s="13" t="str">
        <f>+HYPERLINK("http://trademark.i-assist.jp/data/china/image_1883th/72158685.pdf","72158685")</f>
        <v>72158685</v>
      </c>
      <c r="F99" s="7" t="s">
        <v>281</v>
      </c>
      <c r="G99" s="7" t="s">
        <v>282</v>
      </c>
      <c r="H99" s="7" t="s">
        <v>283</v>
      </c>
      <c r="I99" s="9">
        <v>45089</v>
      </c>
    </row>
    <row r="100" spans="1:9" ht="27" x14ac:dyDescent="0.15">
      <c r="A100" s="6">
        <v>99</v>
      </c>
      <c r="B100" s="7" t="s">
        <v>9</v>
      </c>
      <c r="C100" s="8">
        <v>1883</v>
      </c>
      <c r="D100" s="9">
        <v>45395</v>
      </c>
      <c r="E100" s="13" t="str">
        <f>+HYPERLINK("http://trademark.i-assist.jp/data/china/image_1883th/72190322.pdf","72190322")</f>
        <v>72190322</v>
      </c>
      <c r="F100" s="7" t="s">
        <v>284</v>
      </c>
      <c r="G100" s="7" t="s">
        <v>285</v>
      </c>
      <c r="H100" s="7" t="s">
        <v>286</v>
      </c>
      <c r="I100" s="9">
        <v>45090</v>
      </c>
    </row>
    <row r="101" spans="1:9" x14ac:dyDescent="0.15">
      <c r="A101" s="6">
        <v>100</v>
      </c>
      <c r="B101" s="7" t="s">
        <v>9</v>
      </c>
      <c r="C101" s="8">
        <v>1883</v>
      </c>
      <c r="D101" s="9">
        <v>45395</v>
      </c>
      <c r="E101" s="13" t="str">
        <f>+HYPERLINK("http://trademark.i-assist.jp/data/china/image_1883th/72260430.pdf","72260430")</f>
        <v>72260430</v>
      </c>
      <c r="F101" s="7" t="s">
        <v>287</v>
      </c>
      <c r="G101" s="7" t="s">
        <v>288</v>
      </c>
      <c r="H101" s="7" t="s">
        <v>289</v>
      </c>
      <c r="I101" s="9">
        <v>45092</v>
      </c>
    </row>
    <row r="102" spans="1:9" x14ac:dyDescent="0.15">
      <c r="A102" s="6">
        <v>101</v>
      </c>
      <c r="B102" s="7" t="s">
        <v>9</v>
      </c>
      <c r="C102" s="8">
        <v>1883</v>
      </c>
      <c r="D102" s="9">
        <v>45395</v>
      </c>
      <c r="E102" s="13" t="str">
        <f>+HYPERLINK("http://trademark.i-assist.jp/data/china/image_1883th/72335255.pdf","72335255")</f>
        <v>72335255</v>
      </c>
      <c r="F102" s="7" t="s">
        <v>290</v>
      </c>
      <c r="G102" s="7" t="s">
        <v>291</v>
      </c>
      <c r="H102" s="7" t="s">
        <v>292</v>
      </c>
      <c r="I102" s="9">
        <v>45097</v>
      </c>
    </row>
    <row r="103" spans="1:9" x14ac:dyDescent="0.15">
      <c r="A103" s="6">
        <v>102</v>
      </c>
      <c r="B103" s="7" t="s">
        <v>9</v>
      </c>
      <c r="C103" s="8">
        <v>1883</v>
      </c>
      <c r="D103" s="9">
        <v>45395</v>
      </c>
      <c r="E103" s="13" t="str">
        <f>+HYPERLINK("http://trademark.i-assist.jp/data/china/image_1883th/72415777.pdf","72415777")</f>
        <v>72415777</v>
      </c>
      <c r="F103" s="7" t="s">
        <v>293</v>
      </c>
      <c r="G103" s="7" t="s">
        <v>294</v>
      </c>
      <c r="H103" s="7" t="s">
        <v>295</v>
      </c>
      <c r="I103" s="9">
        <v>45102</v>
      </c>
    </row>
    <row r="104" spans="1:9" x14ac:dyDescent="0.15">
      <c r="A104" s="6">
        <v>103</v>
      </c>
      <c r="B104" s="7" t="s">
        <v>9</v>
      </c>
      <c r="C104" s="8">
        <v>1883</v>
      </c>
      <c r="D104" s="9">
        <v>45395</v>
      </c>
      <c r="E104" s="13" t="str">
        <f>+HYPERLINK("http://trademark.i-assist.jp/data/china/image_1883th/72517753.pdf","72517753")</f>
        <v>72517753</v>
      </c>
      <c r="F104" s="7" t="s">
        <v>296</v>
      </c>
      <c r="G104" s="7" t="s">
        <v>124</v>
      </c>
      <c r="H104" s="7" t="s">
        <v>297</v>
      </c>
      <c r="I104" s="9">
        <v>45106</v>
      </c>
    </row>
    <row r="105" spans="1:9" ht="27" x14ac:dyDescent="0.15">
      <c r="A105" s="6">
        <v>104</v>
      </c>
      <c r="B105" s="7" t="s">
        <v>9</v>
      </c>
      <c r="C105" s="8">
        <v>1883</v>
      </c>
      <c r="D105" s="9">
        <v>45395</v>
      </c>
      <c r="E105" s="13" t="str">
        <f>+HYPERLINK("http://trademark.i-assist.jp/data/china/image_1883th/72742579.pdf","72742579")</f>
        <v>72742579</v>
      </c>
      <c r="F105" s="7" t="s">
        <v>298</v>
      </c>
      <c r="G105" s="7" t="s">
        <v>299</v>
      </c>
      <c r="H105" s="7" t="s">
        <v>300</v>
      </c>
      <c r="I105" s="9">
        <v>45117</v>
      </c>
    </row>
    <row r="106" spans="1:9" x14ac:dyDescent="0.15">
      <c r="A106" s="6">
        <v>105</v>
      </c>
      <c r="B106" s="7" t="s">
        <v>9</v>
      </c>
      <c r="C106" s="8">
        <v>1883</v>
      </c>
      <c r="D106" s="9">
        <v>45395</v>
      </c>
      <c r="E106" s="13" t="str">
        <f>+HYPERLINK("http://trademark.i-assist.jp/data/china/image_1883th/72836282.pdf","72836282")</f>
        <v>72836282</v>
      </c>
      <c r="F106" s="7" t="s">
        <v>301</v>
      </c>
      <c r="G106" s="7" t="s">
        <v>302</v>
      </c>
      <c r="H106" s="7" t="s">
        <v>303</v>
      </c>
      <c r="I106" s="9">
        <v>45121</v>
      </c>
    </row>
    <row r="107" spans="1:9" x14ac:dyDescent="0.15">
      <c r="A107" s="6">
        <v>106</v>
      </c>
      <c r="B107" s="7" t="s">
        <v>9</v>
      </c>
      <c r="C107" s="8">
        <v>1883</v>
      </c>
      <c r="D107" s="9">
        <v>45395</v>
      </c>
      <c r="E107" s="13" t="str">
        <f>+HYPERLINK("http://trademark.i-assist.jp/data/china/image_1883th/72852156.pdf","72852156")</f>
        <v>72852156</v>
      </c>
      <c r="F107" s="7" t="s">
        <v>304</v>
      </c>
      <c r="G107" s="7" t="s">
        <v>209</v>
      </c>
      <c r="H107" s="7" t="s">
        <v>305</v>
      </c>
      <c r="I107" s="9">
        <v>45121</v>
      </c>
    </row>
    <row r="108" spans="1:9" ht="27" x14ac:dyDescent="0.15">
      <c r="A108" s="6">
        <v>107</v>
      </c>
      <c r="B108" s="7" t="s">
        <v>9</v>
      </c>
      <c r="C108" s="8">
        <v>1883</v>
      </c>
      <c r="D108" s="9">
        <v>45395</v>
      </c>
      <c r="E108" s="13" t="str">
        <f>+HYPERLINK("http://trademark.i-assist.jp/data/china/image_1883th/73013356.pdf","73013356")</f>
        <v>73013356</v>
      </c>
      <c r="F108" s="7" t="s">
        <v>306</v>
      </c>
      <c r="G108" s="7" t="s">
        <v>307</v>
      </c>
      <c r="H108" s="7" t="s">
        <v>308</v>
      </c>
      <c r="I108" s="9">
        <v>45129</v>
      </c>
    </row>
    <row r="109" spans="1:9" ht="27" x14ac:dyDescent="0.15">
      <c r="A109" s="6">
        <v>108</v>
      </c>
      <c r="B109" s="7" t="s">
        <v>9</v>
      </c>
      <c r="C109" s="8">
        <v>1883</v>
      </c>
      <c r="D109" s="9">
        <v>45395</v>
      </c>
      <c r="E109" s="13" t="str">
        <f>+HYPERLINK("http://trademark.i-assist.jp/data/china/image_1883th/73047627.pdf","73047627")</f>
        <v>73047627</v>
      </c>
      <c r="F109" s="7" t="s">
        <v>309</v>
      </c>
      <c r="G109" s="7" t="s">
        <v>310</v>
      </c>
      <c r="H109" s="7" t="s">
        <v>311</v>
      </c>
      <c r="I109" s="9">
        <v>45132</v>
      </c>
    </row>
    <row r="110" spans="1:9" ht="27" x14ac:dyDescent="0.15">
      <c r="A110" s="6">
        <v>109</v>
      </c>
      <c r="B110" s="7" t="s">
        <v>9</v>
      </c>
      <c r="C110" s="8">
        <v>1883</v>
      </c>
      <c r="D110" s="9">
        <v>45395</v>
      </c>
      <c r="E110" s="13" t="str">
        <f>+HYPERLINK("http://trademark.i-assist.jp/data/china/image_1883th/73049423.pdf","73049423")</f>
        <v>73049423</v>
      </c>
      <c r="F110" s="7" t="s">
        <v>312</v>
      </c>
      <c r="G110" s="7" t="s">
        <v>313</v>
      </c>
      <c r="H110" s="7" t="s">
        <v>314</v>
      </c>
      <c r="I110" s="9">
        <v>45132</v>
      </c>
    </row>
    <row r="111" spans="1:9" x14ac:dyDescent="0.15">
      <c r="A111" s="6">
        <v>110</v>
      </c>
      <c r="B111" s="7" t="s">
        <v>9</v>
      </c>
      <c r="C111" s="8">
        <v>1883</v>
      </c>
      <c r="D111" s="9">
        <v>45395</v>
      </c>
      <c r="E111" s="13" t="str">
        <f>+HYPERLINK("http://trademark.i-assist.jp/data/china/image_1883th/73054270.pdf","73054270")</f>
        <v>73054270</v>
      </c>
      <c r="F111" s="7" t="s">
        <v>315</v>
      </c>
      <c r="G111" s="7" t="s">
        <v>316</v>
      </c>
      <c r="H111" s="7" t="s">
        <v>317</v>
      </c>
      <c r="I111" s="9">
        <v>45132</v>
      </c>
    </row>
    <row r="112" spans="1:9" ht="27" x14ac:dyDescent="0.15">
      <c r="A112" s="6">
        <v>111</v>
      </c>
      <c r="B112" s="7" t="s">
        <v>9</v>
      </c>
      <c r="C112" s="8">
        <v>1883</v>
      </c>
      <c r="D112" s="9">
        <v>45395</v>
      </c>
      <c r="E112" s="13" t="str">
        <f>+HYPERLINK("http://trademark.i-assist.jp/data/china/image_1883th/73067364.pdf","73067364")</f>
        <v>73067364</v>
      </c>
      <c r="F112" s="7" t="s">
        <v>309</v>
      </c>
      <c r="G112" s="7" t="s">
        <v>310</v>
      </c>
      <c r="H112" s="7" t="s">
        <v>318</v>
      </c>
      <c r="I112" s="9">
        <v>45132</v>
      </c>
    </row>
    <row r="113" spans="1:9" x14ac:dyDescent="0.15">
      <c r="A113" s="6">
        <v>112</v>
      </c>
      <c r="B113" s="7" t="s">
        <v>9</v>
      </c>
      <c r="C113" s="8">
        <v>1883</v>
      </c>
      <c r="D113" s="9">
        <v>45395</v>
      </c>
      <c r="E113" s="13" t="str">
        <f>+HYPERLINK("http://trademark.i-assist.jp/data/china/image_1883th/73245489.pdf","73245489")</f>
        <v>73245489</v>
      </c>
      <c r="F113" s="7" t="s">
        <v>319</v>
      </c>
      <c r="G113" s="7" t="s">
        <v>320</v>
      </c>
      <c r="H113" s="7" t="s">
        <v>321</v>
      </c>
      <c r="I113" s="9">
        <v>45141</v>
      </c>
    </row>
    <row r="114" spans="1:9" x14ac:dyDescent="0.15">
      <c r="A114" s="6">
        <v>113</v>
      </c>
      <c r="B114" s="7" t="s">
        <v>9</v>
      </c>
      <c r="C114" s="8">
        <v>1883</v>
      </c>
      <c r="D114" s="9">
        <v>45395</v>
      </c>
      <c r="E114" s="13" t="str">
        <f>+HYPERLINK("http://trademark.i-assist.jp/data/china/image_1883th/73641962.pdf","73641962")</f>
        <v>73641962</v>
      </c>
      <c r="F114" s="7" t="s">
        <v>322</v>
      </c>
      <c r="G114" s="7" t="s">
        <v>323</v>
      </c>
      <c r="H114" s="7" t="s">
        <v>324</v>
      </c>
      <c r="I114" s="9">
        <v>45161</v>
      </c>
    </row>
    <row r="115" spans="1:9" x14ac:dyDescent="0.15">
      <c r="A115" s="6">
        <v>114</v>
      </c>
      <c r="B115" s="7" t="s">
        <v>9</v>
      </c>
      <c r="C115" s="8">
        <v>1883</v>
      </c>
      <c r="D115" s="9">
        <v>45395</v>
      </c>
      <c r="E115" s="13" t="str">
        <f>+HYPERLINK("http://trademark.i-assist.jp/data/china/image_1883th/73785692.pdf","73785692")</f>
        <v>73785692</v>
      </c>
      <c r="F115" s="7" t="s">
        <v>325</v>
      </c>
      <c r="G115" s="7" t="s">
        <v>326</v>
      </c>
      <c r="H115" s="7" t="s">
        <v>327</v>
      </c>
      <c r="I115" s="9">
        <v>45168</v>
      </c>
    </row>
    <row r="116" spans="1:9" x14ac:dyDescent="0.15">
      <c r="A116" s="6">
        <v>115</v>
      </c>
      <c r="B116" s="7" t="s">
        <v>9</v>
      </c>
      <c r="C116" s="8">
        <v>1883</v>
      </c>
      <c r="D116" s="9">
        <v>45395</v>
      </c>
      <c r="E116" s="13" t="str">
        <f>+HYPERLINK("http://trademark.i-assist.jp/data/china/image_1883th/73912786.pdf","73912786")</f>
        <v>73912786</v>
      </c>
      <c r="F116" s="7" t="s">
        <v>328</v>
      </c>
      <c r="G116" s="7" t="s">
        <v>329</v>
      </c>
      <c r="H116" s="7" t="s">
        <v>330</v>
      </c>
      <c r="I116" s="9">
        <v>45175</v>
      </c>
    </row>
    <row r="117" spans="1:9" x14ac:dyDescent="0.15">
      <c r="A117" s="6">
        <v>116</v>
      </c>
      <c r="B117" s="7" t="s">
        <v>9</v>
      </c>
      <c r="C117" s="8">
        <v>1883</v>
      </c>
      <c r="D117" s="9">
        <v>45395</v>
      </c>
      <c r="E117" s="13" t="str">
        <f>+HYPERLINK("http://trademark.i-assist.jp/data/china/image_1883th/74127446.pdf","74127446")</f>
        <v>74127446</v>
      </c>
      <c r="F117" s="7" t="s">
        <v>331</v>
      </c>
      <c r="G117" s="7" t="s">
        <v>332</v>
      </c>
      <c r="H117" s="7" t="s">
        <v>333</v>
      </c>
      <c r="I117" s="9">
        <v>45185</v>
      </c>
    </row>
    <row r="118" spans="1:9" x14ac:dyDescent="0.15">
      <c r="A118" s="6">
        <v>117</v>
      </c>
      <c r="B118" s="7" t="s">
        <v>9</v>
      </c>
      <c r="C118" s="8">
        <v>1883</v>
      </c>
      <c r="D118" s="9">
        <v>45395</v>
      </c>
      <c r="E118" s="13" t="str">
        <f>+HYPERLINK("http://trademark.i-assist.jp/data/china/image_1883th/74176326.pdf","74176326")</f>
        <v>74176326</v>
      </c>
      <c r="F118" s="7" t="s">
        <v>334</v>
      </c>
      <c r="G118" s="7" t="s">
        <v>335</v>
      </c>
      <c r="H118" s="7" t="s">
        <v>336</v>
      </c>
      <c r="I118" s="9">
        <v>45188</v>
      </c>
    </row>
    <row r="119" spans="1:9" x14ac:dyDescent="0.15">
      <c r="A119" s="6">
        <v>118</v>
      </c>
      <c r="B119" s="7" t="s">
        <v>9</v>
      </c>
      <c r="C119" s="8">
        <v>1883</v>
      </c>
      <c r="D119" s="9">
        <v>45395</v>
      </c>
      <c r="E119" s="13" t="str">
        <f>+HYPERLINK("http://trademark.i-assist.jp/data/china/image_1883th/74249320.pdf","74249320")</f>
        <v>74249320</v>
      </c>
      <c r="F119" s="7" t="s">
        <v>337</v>
      </c>
      <c r="G119" s="7" t="s">
        <v>338</v>
      </c>
      <c r="H119" s="7" t="s">
        <v>339</v>
      </c>
      <c r="I119" s="9">
        <v>45191</v>
      </c>
    </row>
    <row r="120" spans="1:9" x14ac:dyDescent="0.15">
      <c r="A120" s="6">
        <v>119</v>
      </c>
      <c r="B120" s="7" t="s">
        <v>9</v>
      </c>
      <c r="C120" s="8">
        <v>1883</v>
      </c>
      <c r="D120" s="9">
        <v>45395</v>
      </c>
      <c r="E120" s="13" t="str">
        <f>+HYPERLINK("http://trademark.i-assist.jp/data/china/image_1883th/74315951.pdf","74315951")</f>
        <v>74315951</v>
      </c>
      <c r="F120" s="7" t="s">
        <v>340</v>
      </c>
      <c r="G120" s="7" t="s">
        <v>341</v>
      </c>
      <c r="H120" s="7" t="s">
        <v>342</v>
      </c>
      <c r="I120" s="9">
        <v>45195</v>
      </c>
    </row>
    <row r="121" spans="1:9" x14ac:dyDescent="0.15">
      <c r="A121" s="6">
        <v>120</v>
      </c>
      <c r="B121" s="7" t="s">
        <v>9</v>
      </c>
      <c r="C121" s="8">
        <v>1883</v>
      </c>
      <c r="D121" s="9">
        <v>45395</v>
      </c>
      <c r="E121" s="13" t="str">
        <f>+HYPERLINK("http://trademark.i-assist.jp/data/china/image_1883th/74417990.pdf","74417990")</f>
        <v>74417990</v>
      </c>
      <c r="F121" s="7" t="s">
        <v>343</v>
      </c>
      <c r="G121" s="7" t="s">
        <v>344</v>
      </c>
      <c r="H121" s="7" t="s">
        <v>345</v>
      </c>
      <c r="I121" s="9">
        <v>45207</v>
      </c>
    </row>
    <row r="122" spans="1:9" ht="27" x14ac:dyDescent="0.15">
      <c r="A122" s="6">
        <v>121</v>
      </c>
      <c r="B122" s="7" t="s">
        <v>9</v>
      </c>
      <c r="C122" s="8">
        <v>1883</v>
      </c>
      <c r="D122" s="9">
        <v>45395</v>
      </c>
      <c r="E122" s="13" t="str">
        <f>+HYPERLINK("http://trademark.i-assist.jp/data/china/image_1883th/74500731.pdf","74500731")</f>
        <v>74500731</v>
      </c>
      <c r="F122" s="7" t="s">
        <v>346</v>
      </c>
      <c r="G122" s="7" t="s">
        <v>347</v>
      </c>
      <c r="H122" s="7" t="s">
        <v>348</v>
      </c>
      <c r="I122" s="9">
        <v>45210</v>
      </c>
    </row>
    <row r="123" spans="1:9" ht="27" x14ac:dyDescent="0.15">
      <c r="A123" s="6">
        <v>122</v>
      </c>
      <c r="B123" s="7" t="s">
        <v>9</v>
      </c>
      <c r="C123" s="8">
        <v>1883</v>
      </c>
      <c r="D123" s="9">
        <v>45395</v>
      </c>
      <c r="E123" s="13" t="str">
        <f>+HYPERLINK("http://trademark.i-assist.jp/data/china/image_1883th/74549251.pdf","74549251")</f>
        <v>74549251</v>
      </c>
      <c r="F123" s="7" t="s">
        <v>57</v>
      </c>
      <c r="G123" s="7" t="s">
        <v>349</v>
      </c>
      <c r="H123" s="7" t="s">
        <v>350</v>
      </c>
      <c r="I123" s="9">
        <v>45212</v>
      </c>
    </row>
    <row r="124" spans="1:9" x14ac:dyDescent="0.15">
      <c r="A124" s="6">
        <v>123</v>
      </c>
      <c r="B124" s="7" t="s">
        <v>9</v>
      </c>
      <c r="C124" s="8">
        <v>1883</v>
      </c>
      <c r="D124" s="9">
        <v>45395</v>
      </c>
      <c r="E124" s="13" t="str">
        <f>+HYPERLINK("http://trademark.i-assist.jp/data/china/image_1883th/74584832.pdf","74584832")</f>
        <v>74584832</v>
      </c>
      <c r="F124" s="7" t="s">
        <v>351</v>
      </c>
      <c r="G124" s="7" t="s">
        <v>352</v>
      </c>
      <c r="H124" s="7" t="s">
        <v>353</v>
      </c>
      <c r="I124" s="9">
        <v>45215</v>
      </c>
    </row>
    <row r="125" spans="1:9" x14ac:dyDescent="0.15">
      <c r="A125" s="6">
        <v>124</v>
      </c>
      <c r="B125" s="7" t="s">
        <v>9</v>
      </c>
      <c r="C125" s="8">
        <v>1883</v>
      </c>
      <c r="D125" s="9">
        <v>45395</v>
      </c>
      <c r="E125" s="13" t="str">
        <f>+HYPERLINK("http://trademark.i-assist.jp/data/china/image_1883th/74592669.pdf","74592669")</f>
        <v>74592669</v>
      </c>
      <c r="F125" s="7" t="s">
        <v>354</v>
      </c>
      <c r="G125" s="7" t="s">
        <v>355</v>
      </c>
      <c r="H125" s="7" t="s">
        <v>356</v>
      </c>
      <c r="I125" s="9">
        <v>45215</v>
      </c>
    </row>
    <row r="126" spans="1:9" ht="27" x14ac:dyDescent="0.15">
      <c r="A126" s="6">
        <v>125</v>
      </c>
      <c r="B126" s="7" t="s">
        <v>9</v>
      </c>
      <c r="C126" s="8">
        <v>1883</v>
      </c>
      <c r="D126" s="9">
        <v>45395</v>
      </c>
      <c r="E126" s="13" t="str">
        <f>+HYPERLINK("http://trademark.i-assist.jp/data/china/image_1883th/74621363.pdf","74621363")</f>
        <v>74621363</v>
      </c>
      <c r="F126" s="7" t="s">
        <v>57</v>
      </c>
      <c r="G126" s="7" t="s">
        <v>357</v>
      </c>
      <c r="H126" s="7" t="s">
        <v>358</v>
      </c>
      <c r="I126" s="9">
        <v>45216</v>
      </c>
    </row>
    <row r="127" spans="1:9" x14ac:dyDescent="0.15">
      <c r="A127" s="6">
        <v>126</v>
      </c>
      <c r="B127" s="7" t="s">
        <v>9</v>
      </c>
      <c r="C127" s="8">
        <v>1883</v>
      </c>
      <c r="D127" s="9">
        <v>45395</v>
      </c>
      <c r="E127" s="13" t="str">
        <f>+HYPERLINK("http://trademark.i-assist.jp/data/china/image_1883th/74647212.pdf","74647212")</f>
        <v>74647212</v>
      </c>
      <c r="F127" s="7" t="s">
        <v>359</v>
      </c>
      <c r="G127" s="7" t="s">
        <v>360</v>
      </c>
      <c r="H127" s="7" t="s">
        <v>361</v>
      </c>
      <c r="I127" s="9">
        <v>45217</v>
      </c>
    </row>
    <row r="128" spans="1:9" x14ac:dyDescent="0.15">
      <c r="A128" s="6">
        <v>127</v>
      </c>
      <c r="B128" s="7" t="s">
        <v>9</v>
      </c>
      <c r="C128" s="8">
        <v>1883</v>
      </c>
      <c r="D128" s="9">
        <v>45395</v>
      </c>
      <c r="E128" s="13" t="str">
        <f>+HYPERLINK("http://trademark.i-assist.jp/data/china/image_1883th/74647346.pdf","74647346")</f>
        <v>74647346</v>
      </c>
      <c r="F128" s="7" t="s">
        <v>362</v>
      </c>
      <c r="G128" s="7" t="s">
        <v>363</v>
      </c>
      <c r="H128" s="7" t="s">
        <v>364</v>
      </c>
      <c r="I128" s="9">
        <v>45217</v>
      </c>
    </row>
    <row r="129" spans="1:9" x14ac:dyDescent="0.15">
      <c r="A129" s="6">
        <v>128</v>
      </c>
      <c r="B129" s="7" t="s">
        <v>9</v>
      </c>
      <c r="C129" s="8">
        <v>1883</v>
      </c>
      <c r="D129" s="9">
        <v>45395</v>
      </c>
      <c r="E129" s="13" t="str">
        <f>+HYPERLINK("http://trademark.i-assist.jp/data/china/image_1883th/74711459.pdf","74711459")</f>
        <v>74711459</v>
      </c>
      <c r="F129" s="7" t="s">
        <v>57</v>
      </c>
      <c r="G129" s="7" t="s">
        <v>365</v>
      </c>
      <c r="H129" s="7" t="s">
        <v>366</v>
      </c>
      <c r="I129" s="9">
        <v>45222</v>
      </c>
    </row>
    <row r="130" spans="1:9" ht="27" x14ac:dyDescent="0.15">
      <c r="A130" s="6">
        <v>129</v>
      </c>
      <c r="B130" s="7" t="s">
        <v>9</v>
      </c>
      <c r="C130" s="8">
        <v>1883</v>
      </c>
      <c r="D130" s="9">
        <v>45395</v>
      </c>
      <c r="E130" s="13" t="str">
        <f>+HYPERLINK("http://trademark.i-assist.jp/data/china/image_1883th/74740595.pdf","74740595")</f>
        <v>74740595</v>
      </c>
      <c r="F130" s="7" t="s">
        <v>367</v>
      </c>
      <c r="G130" s="7" t="s">
        <v>357</v>
      </c>
      <c r="H130" s="7" t="s">
        <v>368</v>
      </c>
      <c r="I130" s="9">
        <v>45223</v>
      </c>
    </row>
    <row r="131" spans="1:9" ht="27" x14ac:dyDescent="0.15">
      <c r="A131" s="6">
        <v>130</v>
      </c>
      <c r="B131" s="7" t="s">
        <v>9</v>
      </c>
      <c r="C131" s="8">
        <v>1883</v>
      </c>
      <c r="D131" s="9">
        <v>45395</v>
      </c>
      <c r="E131" s="13" t="str">
        <f>+HYPERLINK("http://trademark.i-assist.jp/data/china/image_1883th/74787190.pdf","74787190")</f>
        <v>74787190</v>
      </c>
      <c r="F131" s="7" t="s">
        <v>369</v>
      </c>
      <c r="G131" s="7" t="s">
        <v>349</v>
      </c>
      <c r="H131" s="7" t="s">
        <v>370</v>
      </c>
      <c r="I131" s="9">
        <v>45225</v>
      </c>
    </row>
    <row r="132" spans="1:9" x14ac:dyDescent="0.15">
      <c r="A132" s="6">
        <v>131</v>
      </c>
      <c r="B132" s="7" t="s">
        <v>9</v>
      </c>
      <c r="C132" s="8">
        <v>1883</v>
      </c>
      <c r="D132" s="9">
        <v>45395</v>
      </c>
      <c r="E132" s="13" t="str">
        <f>+HYPERLINK("http://trademark.i-assist.jp/data/china/image_1883th/74801432.pdf","74801432")</f>
        <v>74801432</v>
      </c>
      <c r="F132" s="7" t="s">
        <v>371</v>
      </c>
      <c r="G132" s="7" t="s">
        <v>372</v>
      </c>
      <c r="H132" s="7" t="s">
        <v>373</v>
      </c>
      <c r="I132" s="9">
        <v>45225</v>
      </c>
    </row>
    <row r="133" spans="1:9" ht="27" x14ac:dyDescent="0.15">
      <c r="A133" s="6">
        <v>132</v>
      </c>
      <c r="B133" s="7" t="s">
        <v>9</v>
      </c>
      <c r="C133" s="8">
        <v>1883</v>
      </c>
      <c r="D133" s="9">
        <v>45395</v>
      </c>
      <c r="E133" s="13" t="str">
        <f>+HYPERLINK("http://trademark.i-assist.jp/data/china/image_1883th/74803582.pdf","74803582")</f>
        <v>74803582</v>
      </c>
      <c r="F133" s="7" t="s">
        <v>374</v>
      </c>
      <c r="G133" s="7" t="s">
        <v>349</v>
      </c>
      <c r="H133" s="7" t="s">
        <v>375</v>
      </c>
      <c r="I133" s="9">
        <v>45225</v>
      </c>
    </row>
    <row r="134" spans="1:9" ht="27" x14ac:dyDescent="0.15">
      <c r="A134" s="6">
        <v>133</v>
      </c>
      <c r="B134" s="7" t="s">
        <v>9</v>
      </c>
      <c r="C134" s="8">
        <v>1883</v>
      </c>
      <c r="D134" s="9">
        <v>45395</v>
      </c>
      <c r="E134" s="13" t="str">
        <f>+HYPERLINK("http://trademark.i-assist.jp/data/china/image_1883th/74807086.pdf","74807086")</f>
        <v>74807086</v>
      </c>
      <c r="F134" s="7" t="s">
        <v>376</v>
      </c>
      <c r="G134" s="7" t="s">
        <v>377</v>
      </c>
      <c r="H134" s="7" t="s">
        <v>378</v>
      </c>
      <c r="I134" s="9">
        <v>45225</v>
      </c>
    </row>
    <row r="135" spans="1:9" x14ac:dyDescent="0.15">
      <c r="A135" s="6">
        <v>134</v>
      </c>
      <c r="B135" s="7" t="s">
        <v>9</v>
      </c>
      <c r="C135" s="8">
        <v>1883</v>
      </c>
      <c r="D135" s="9">
        <v>45395</v>
      </c>
      <c r="E135" s="13" t="str">
        <f>+HYPERLINK("http://trademark.i-assist.jp/data/china/image_1883th/74813792.pdf","74813792")</f>
        <v>74813792</v>
      </c>
      <c r="F135" s="7" t="s">
        <v>379</v>
      </c>
      <c r="G135" s="7" t="s">
        <v>380</v>
      </c>
      <c r="H135" s="7" t="s">
        <v>381</v>
      </c>
      <c r="I135" s="9">
        <v>45226</v>
      </c>
    </row>
    <row r="136" spans="1:9" ht="27" x14ac:dyDescent="0.15">
      <c r="A136" s="6">
        <v>135</v>
      </c>
      <c r="B136" s="7" t="s">
        <v>9</v>
      </c>
      <c r="C136" s="8">
        <v>1883</v>
      </c>
      <c r="D136" s="9">
        <v>45395</v>
      </c>
      <c r="E136" s="13" t="str">
        <f>+HYPERLINK("http://trademark.i-assist.jp/data/china/image_1883th/74833329.pdf","74833329")</f>
        <v>74833329</v>
      </c>
      <c r="F136" s="7" t="s">
        <v>382</v>
      </c>
      <c r="G136" s="7" t="s">
        <v>383</v>
      </c>
      <c r="H136" s="7" t="s">
        <v>384</v>
      </c>
      <c r="I136" s="9">
        <v>45226</v>
      </c>
    </row>
    <row r="137" spans="1:9" x14ac:dyDescent="0.15">
      <c r="A137" s="6">
        <v>136</v>
      </c>
      <c r="B137" s="7" t="s">
        <v>9</v>
      </c>
      <c r="C137" s="8">
        <v>1883</v>
      </c>
      <c r="D137" s="9">
        <v>45395</v>
      </c>
      <c r="E137" s="13" t="str">
        <f>+HYPERLINK("http://trademark.i-assist.jp/data/china/image_1883th/74836313.pdf","74836313")</f>
        <v>74836313</v>
      </c>
      <c r="F137" s="7" t="s">
        <v>385</v>
      </c>
      <c r="G137" s="7" t="s">
        <v>386</v>
      </c>
      <c r="H137" s="7" t="s">
        <v>387</v>
      </c>
      <c r="I137" s="9">
        <v>45226</v>
      </c>
    </row>
    <row r="138" spans="1:9" x14ac:dyDescent="0.15">
      <c r="A138" s="6">
        <v>137</v>
      </c>
      <c r="B138" s="7" t="s">
        <v>9</v>
      </c>
      <c r="C138" s="8">
        <v>1883</v>
      </c>
      <c r="D138" s="9">
        <v>45395</v>
      </c>
      <c r="E138" s="13" t="str">
        <f>+HYPERLINK("http://trademark.i-assist.jp/data/china/image_1883th/74837235.pdf","74837235")</f>
        <v>74837235</v>
      </c>
      <c r="F138" s="7" t="s">
        <v>57</v>
      </c>
      <c r="G138" s="7" t="s">
        <v>388</v>
      </c>
      <c r="H138" s="7" t="s">
        <v>389</v>
      </c>
      <c r="I138" s="9">
        <v>45227</v>
      </c>
    </row>
    <row r="139" spans="1:9" ht="27" x14ac:dyDescent="0.15">
      <c r="A139" s="6">
        <v>138</v>
      </c>
      <c r="B139" s="7" t="s">
        <v>9</v>
      </c>
      <c r="C139" s="8">
        <v>1883</v>
      </c>
      <c r="D139" s="9">
        <v>45395</v>
      </c>
      <c r="E139" s="13" t="str">
        <f>+HYPERLINK("http://trademark.i-assist.jp/data/china/image_1883th/74838959.pdf","74838959")</f>
        <v>74838959</v>
      </c>
      <c r="F139" s="7" t="s">
        <v>390</v>
      </c>
      <c r="G139" s="7" t="s">
        <v>391</v>
      </c>
      <c r="H139" s="7" t="s">
        <v>392</v>
      </c>
      <c r="I139" s="9">
        <v>45227</v>
      </c>
    </row>
    <row r="140" spans="1:9" x14ac:dyDescent="0.15">
      <c r="A140" s="6">
        <v>139</v>
      </c>
      <c r="B140" s="7" t="s">
        <v>9</v>
      </c>
      <c r="C140" s="8">
        <v>1883</v>
      </c>
      <c r="D140" s="9">
        <v>45395</v>
      </c>
      <c r="E140" s="13" t="str">
        <f>+HYPERLINK("http://trademark.i-assist.jp/data/china/image_1883th/74846073.pdf","74846073")</f>
        <v>74846073</v>
      </c>
      <c r="F140" s="7" t="s">
        <v>393</v>
      </c>
      <c r="G140" s="7" t="s">
        <v>394</v>
      </c>
      <c r="H140" s="7" t="s">
        <v>395</v>
      </c>
      <c r="I140" s="9">
        <v>45228</v>
      </c>
    </row>
    <row r="141" spans="1:9" x14ac:dyDescent="0.15">
      <c r="A141" s="6">
        <v>140</v>
      </c>
      <c r="B141" s="7" t="s">
        <v>9</v>
      </c>
      <c r="C141" s="8">
        <v>1883</v>
      </c>
      <c r="D141" s="9">
        <v>45395</v>
      </c>
      <c r="E141" s="13" t="str">
        <f>+HYPERLINK("http://trademark.i-assist.jp/data/china/image_1883th/74852520.pdf","74852520")</f>
        <v>74852520</v>
      </c>
      <c r="F141" s="7" t="s">
        <v>396</v>
      </c>
      <c r="G141" s="7" t="s">
        <v>397</v>
      </c>
      <c r="H141" s="7" t="s">
        <v>398</v>
      </c>
      <c r="I141" s="9">
        <v>45229</v>
      </c>
    </row>
    <row r="142" spans="1:9" x14ac:dyDescent="0.15">
      <c r="A142" s="6">
        <v>141</v>
      </c>
      <c r="B142" s="7" t="s">
        <v>9</v>
      </c>
      <c r="C142" s="8">
        <v>1883</v>
      </c>
      <c r="D142" s="9">
        <v>45395</v>
      </c>
      <c r="E142" s="13" t="str">
        <f>+HYPERLINK("http://trademark.i-assist.jp/data/china/image_1883th/74922671.pdf","74922671")</f>
        <v>74922671</v>
      </c>
      <c r="F142" s="7" t="s">
        <v>399</v>
      </c>
      <c r="G142" s="7" t="s">
        <v>400</v>
      </c>
      <c r="H142" s="7" t="s">
        <v>401</v>
      </c>
      <c r="I142" s="9">
        <v>45231</v>
      </c>
    </row>
    <row r="143" spans="1:9" x14ac:dyDescent="0.15">
      <c r="A143" s="6">
        <v>142</v>
      </c>
      <c r="B143" s="7" t="s">
        <v>9</v>
      </c>
      <c r="C143" s="8">
        <v>1883</v>
      </c>
      <c r="D143" s="9">
        <v>45395</v>
      </c>
      <c r="E143" s="13" t="str">
        <f>+HYPERLINK("http://trademark.i-assist.jp/data/china/image_1883th/74924401.pdf","74924401")</f>
        <v>74924401</v>
      </c>
      <c r="F143" s="7" t="s">
        <v>402</v>
      </c>
      <c r="G143" s="7" t="s">
        <v>403</v>
      </c>
      <c r="H143" s="7" t="s">
        <v>404</v>
      </c>
      <c r="I143" s="9">
        <v>45231</v>
      </c>
    </row>
    <row r="144" spans="1:9" x14ac:dyDescent="0.15">
      <c r="A144" s="6">
        <v>143</v>
      </c>
      <c r="B144" s="7" t="s">
        <v>9</v>
      </c>
      <c r="C144" s="8">
        <v>1883</v>
      </c>
      <c r="D144" s="9">
        <v>45395</v>
      </c>
      <c r="E144" s="13" t="str">
        <f>+HYPERLINK("http://trademark.i-assist.jp/data/china/image_1883th/74939286.pdf","74939286")</f>
        <v>74939286</v>
      </c>
      <c r="F144" s="7" t="s">
        <v>405</v>
      </c>
      <c r="G144" s="7" t="s">
        <v>406</v>
      </c>
      <c r="H144" s="7" t="s">
        <v>407</v>
      </c>
      <c r="I144" s="9">
        <v>45232</v>
      </c>
    </row>
    <row r="145" spans="1:9" x14ac:dyDescent="0.15">
      <c r="A145" s="6">
        <v>144</v>
      </c>
      <c r="B145" s="7" t="s">
        <v>9</v>
      </c>
      <c r="C145" s="8">
        <v>1883</v>
      </c>
      <c r="D145" s="9">
        <v>45395</v>
      </c>
      <c r="E145" s="13" t="str">
        <f>+HYPERLINK("http://trademark.i-assist.jp/data/china/image_1883th/74962194.pdf","74962194")</f>
        <v>74962194</v>
      </c>
      <c r="F145" s="7" t="s">
        <v>408</v>
      </c>
      <c r="G145" s="7" t="s">
        <v>409</v>
      </c>
      <c r="H145" s="7" t="s">
        <v>410</v>
      </c>
      <c r="I145" s="9">
        <v>45233</v>
      </c>
    </row>
    <row r="146" spans="1:9" ht="27" x14ac:dyDescent="0.15">
      <c r="A146" s="6">
        <v>145</v>
      </c>
      <c r="B146" s="7" t="s">
        <v>9</v>
      </c>
      <c r="C146" s="8">
        <v>1883</v>
      </c>
      <c r="D146" s="9">
        <v>45395</v>
      </c>
      <c r="E146" s="13" t="str">
        <f>+HYPERLINK("http://trademark.i-assist.jp/data/china/image_1883th/74983116.pdf","74983116")</f>
        <v>74983116</v>
      </c>
      <c r="F146" s="7" t="s">
        <v>411</v>
      </c>
      <c r="G146" s="7" t="s">
        <v>349</v>
      </c>
      <c r="H146" s="7" t="s">
        <v>412</v>
      </c>
      <c r="I146" s="9">
        <v>45234</v>
      </c>
    </row>
    <row r="147" spans="1:9" x14ac:dyDescent="0.15">
      <c r="A147" s="6">
        <v>146</v>
      </c>
      <c r="B147" s="7" t="s">
        <v>9</v>
      </c>
      <c r="C147" s="8">
        <v>1883</v>
      </c>
      <c r="D147" s="9">
        <v>45395</v>
      </c>
      <c r="E147" s="13" t="str">
        <f>+HYPERLINK("http://trademark.i-assist.jp/data/china/image_1883th/74988278.pdf","74988278")</f>
        <v>74988278</v>
      </c>
      <c r="F147" s="7" t="s">
        <v>413</v>
      </c>
      <c r="G147" s="7" t="s">
        <v>414</v>
      </c>
      <c r="H147" s="7" t="s">
        <v>415</v>
      </c>
      <c r="I147" s="9">
        <v>45236</v>
      </c>
    </row>
    <row r="148" spans="1:9" x14ac:dyDescent="0.15">
      <c r="A148" s="6">
        <v>147</v>
      </c>
      <c r="B148" s="7" t="s">
        <v>9</v>
      </c>
      <c r="C148" s="8">
        <v>1883</v>
      </c>
      <c r="D148" s="9">
        <v>45395</v>
      </c>
      <c r="E148" s="13" t="str">
        <f>+HYPERLINK("http://trademark.i-assist.jp/data/china/image_1883th/74994719.pdf","74994719")</f>
        <v>74994719</v>
      </c>
      <c r="F148" s="7" t="s">
        <v>416</v>
      </c>
      <c r="G148" s="7" t="s">
        <v>417</v>
      </c>
      <c r="H148" s="7" t="s">
        <v>418</v>
      </c>
      <c r="I148" s="9">
        <v>45236</v>
      </c>
    </row>
    <row r="149" spans="1:9" x14ac:dyDescent="0.15">
      <c r="A149" s="6">
        <v>148</v>
      </c>
      <c r="B149" s="7" t="s">
        <v>9</v>
      </c>
      <c r="C149" s="8">
        <v>1883</v>
      </c>
      <c r="D149" s="9">
        <v>45395</v>
      </c>
      <c r="E149" s="13" t="str">
        <f>+HYPERLINK("http://trademark.i-assist.jp/data/china/image_1883th/75003060.pdf","75003060")</f>
        <v>75003060</v>
      </c>
      <c r="F149" s="7" t="s">
        <v>419</v>
      </c>
      <c r="G149" s="7" t="s">
        <v>417</v>
      </c>
      <c r="H149" s="7" t="s">
        <v>420</v>
      </c>
      <c r="I149" s="9">
        <v>45236</v>
      </c>
    </row>
    <row r="150" spans="1:9" ht="27" x14ac:dyDescent="0.15">
      <c r="A150" s="6">
        <v>149</v>
      </c>
      <c r="B150" s="7" t="s">
        <v>9</v>
      </c>
      <c r="C150" s="8">
        <v>1883</v>
      </c>
      <c r="D150" s="9">
        <v>45395</v>
      </c>
      <c r="E150" s="13" t="str">
        <f>+HYPERLINK("http://trademark.i-assist.jp/data/china/image_1883th/75009057.pdf","75009057")</f>
        <v>75009057</v>
      </c>
      <c r="F150" s="7" t="s">
        <v>421</v>
      </c>
      <c r="G150" s="7" t="s">
        <v>422</v>
      </c>
      <c r="H150" s="7" t="s">
        <v>423</v>
      </c>
      <c r="I150" s="9">
        <v>45236</v>
      </c>
    </row>
    <row r="151" spans="1:9" ht="27" x14ac:dyDescent="0.15">
      <c r="A151" s="6">
        <v>150</v>
      </c>
      <c r="B151" s="7" t="s">
        <v>9</v>
      </c>
      <c r="C151" s="8">
        <v>1883</v>
      </c>
      <c r="D151" s="9">
        <v>45395</v>
      </c>
      <c r="E151" s="13" t="str">
        <f>+HYPERLINK("http://trademark.i-assist.jp/data/china/image_1883th/75009626.pdf","75009626")</f>
        <v>75009626</v>
      </c>
      <c r="F151" s="7" t="s">
        <v>424</v>
      </c>
      <c r="G151" s="7" t="s">
        <v>425</v>
      </c>
      <c r="H151" s="7" t="s">
        <v>426</v>
      </c>
      <c r="I151" s="9">
        <v>45236</v>
      </c>
    </row>
    <row r="152" spans="1:9" x14ac:dyDescent="0.15">
      <c r="A152" s="6">
        <v>151</v>
      </c>
      <c r="B152" s="7" t="s">
        <v>9</v>
      </c>
      <c r="C152" s="8">
        <v>1883</v>
      </c>
      <c r="D152" s="9">
        <v>45395</v>
      </c>
      <c r="E152" s="13" t="str">
        <f>+HYPERLINK("http://trademark.i-assist.jp/data/china/image_1883th/75024176.pdf","75024176")</f>
        <v>75024176</v>
      </c>
      <c r="F152" s="7" t="s">
        <v>427</v>
      </c>
      <c r="G152" s="7" t="s">
        <v>428</v>
      </c>
      <c r="H152" s="7" t="s">
        <v>429</v>
      </c>
      <c r="I152" s="9">
        <v>45237</v>
      </c>
    </row>
    <row r="153" spans="1:9" ht="27" x14ac:dyDescent="0.15">
      <c r="A153" s="6">
        <v>152</v>
      </c>
      <c r="B153" s="7" t="s">
        <v>9</v>
      </c>
      <c r="C153" s="8">
        <v>1883</v>
      </c>
      <c r="D153" s="9">
        <v>45395</v>
      </c>
      <c r="E153" s="13" t="str">
        <f>+HYPERLINK("http://trademark.i-assist.jp/data/china/image_1883th/75024294.pdf","75024294")</f>
        <v>75024294</v>
      </c>
      <c r="F153" s="7" t="s">
        <v>430</v>
      </c>
      <c r="G153" s="7" t="s">
        <v>417</v>
      </c>
      <c r="H153" s="7" t="s">
        <v>431</v>
      </c>
      <c r="I153" s="9">
        <v>45237</v>
      </c>
    </row>
    <row r="154" spans="1:9" x14ac:dyDescent="0.15">
      <c r="A154" s="6">
        <v>153</v>
      </c>
      <c r="B154" s="7" t="s">
        <v>9</v>
      </c>
      <c r="C154" s="8">
        <v>1883</v>
      </c>
      <c r="D154" s="9">
        <v>45395</v>
      </c>
      <c r="E154" s="13" t="str">
        <f>+HYPERLINK("http://trademark.i-assist.jp/data/china/image_1883th/75029958.pdf","75029958")</f>
        <v>75029958</v>
      </c>
      <c r="F154" s="7" t="s">
        <v>432</v>
      </c>
      <c r="G154" s="7" t="s">
        <v>433</v>
      </c>
      <c r="H154" s="7" t="s">
        <v>434</v>
      </c>
      <c r="I154" s="9">
        <v>45237</v>
      </c>
    </row>
    <row r="155" spans="1:9" x14ac:dyDescent="0.15">
      <c r="A155" s="6">
        <v>154</v>
      </c>
      <c r="B155" s="7" t="s">
        <v>9</v>
      </c>
      <c r="C155" s="8">
        <v>1883</v>
      </c>
      <c r="D155" s="9">
        <v>45395</v>
      </c>
      <c r="E155" s="13" t="str">
        <f>+HYPERLINK("http://trademark.i-assist.jp/data/china/image_1883th/75032337.pdf","75032337")</f>
        <v>75032337</v>
      </c>
      <c r="F155" s="7" t="s">
        <v>435</v>
      </c>
      <c r="G155" s="7" t="s">
        <v>436</v>
      </c>
      <c r="H155" s="7" t="s">
        <v>437</v>
      </c>
      <c r="I155" s="9">
        <v>45237</v>
      </c>
    </row>
    <row r="156" spans="1:9" x14ac:dyDescent="0.15">
      <c r="A156" s="6">
        <v>155</v>
      </c>
      <c r="B156" s="7" t="s">
        <v>9</v>
      </c>
      <c r="C156" s="8">
        <v>1883</v>
      </c>
      <c r="D156" s="9">
        <v>45395</v>
      </c>
      <c r="E156" s="13" t="str">
        <f>+HYPERLINK("http://trademark.i-assist.jp/data/china/image_1883th/75054402.pdf","75054402")</f>
        <v>75054402</v>
      </c>
      <c r="F156" s="7" t="s">
        <v>57</v>
      </c>
      <c r="G156" s="7" t="s">
        <v>438</v>
      </c>
      <c r="H156" s="7" t="s">
        <v>439</v>
      </c>
      <c r="I156" s="9">
        <v>45238</v>
      </c>
    </row>
    <row r="157" spans="1:9" ht="27" x14ac:dyDescent="0.15">
      <c r="A157" s="6">
        <v>156</v>
      </c>
      <c r="B157" s="7" t="s">
        <v>9</v>
      </c>
      <c r="C157" s="8">
        <v>1883</v>
      </c>
      <c r="D157" s="9">
        <v>45395</v>
      </c>
      <c r="E157" s="13" t="str">
        <f>+HYPERLINK("http://trademark.i-assist.jp/data/china/image_1883th/75063355.pdf","75063355")</f>
        <v>75063355</v>
      </c>
      <c r="F157" s="7" t="s">
        <v>440</v>
      </c>
      <c r="G157" s="7" t="s">
        <v>417</v>
      </c>
      <c r="H157" s="7" t="s">
        <v>441</v>
      </c>
      <c r="I157" s="9">
        <v>45238</v>
      </c>
    </row>
    <row r="158" spans="1:9" x14ac:dyDescent="0.15">
      <c r="A158" s="6">
        <v>157</v>
      </c>
      <c r="B158" s="7" t="s">
        <v>9</v>
      </c>
      <c r="C158" s="8">
        <v>1883</v>
      </c>
      <c r="D158" s="9">
        <v>45395</v>
      </c>
      <c r="E158" s="13" t="str">
        <f>+HYPERLINK("http://trademark.i-assist.jp/data/china/image_1883th/75076031.pdf","75076031")</f>
        <v>75076031</v>
      </c>
      <c r="F158" s="7" t="s">
        <v>442</v>
      </c>
      <c r="G158" s="7" t="s">
        <v>443</v>
      </c>
      <c r="H158" s="7" t="s">
        <v>444</v>
      </c>
      <c r="I158" s="9">
        <v>45239</v>
      </c>
    </row>
    <row r="159" spans="1:9" x14ac:dyDescent="0.15">
      <c r="A159" s="6">
        <v>158</v>
      </c>
      <c r="B159" s="7" t="s">
        <v>9</v>
      </c>
      <c r="C159" s="8">
        <v>1883</v>
      </c>
      <c r="D159" s="9">
        <v>45395</v>
      </c>
      <c r="E159" s="13" t="str">
        <f>+HYPERLINK("http://trademark.i-assist.jp/data/china/image_1883th/75092307.pdf","75092307")</f>
        <v>75092307</v>
      </c>
      <c r="F159" s="7" t="s">
        <v>445</v>
      </c>
      <c r="G159" s="7" t="s">
        <v>446</v>
      </c>
      <c r="H159" s="7" t="s">
        <v>447</v>
      </c>
      <c r="I159" s="9">
        <v>45240</v>
      </c>
    </row>
    <row r="160" spans="1:9" x14ac:dyDescent="0.15">
      <c r="A160" s="6">
        <v>159</v>
      </c>
      <c r="B160" s="7" t="s">
        <v>9</v>
      </c>
      <c r="C160" s="8">
        <v>1883</v>
      </c>
      <c r="D160" s="9">
        <v>45395</v>
      </c>
      <c r="E160" s="13" t="str">
        <f>+HYPERLINK("http://trademark.i-assist.jp/data/china/image_1883th/75094148.pdf","75094148")</f>
        <v>75094148</v>
      </c>
      <c r="F160" s="7" t="s">
        <v>448</v>
      </c>
      <c r="G160" s="7" t="s">
        <v>449</v>
      </c>
      <c r="H160" s="7" t="s">
        <v>450</v>
      </c>
      <c r="I160" s="9">
        <v>45240</v>
      </c>
    </row>
    <row r="161" spans="1:9" x14ac:dyDescent="0.15">
      <c r="A161" s="6">
        <v>160</v>
      </c>
      <c r="B161" s="7" t="s">
        <v>9</v>
      </c>
      <c r="C161" s="8">
        <v>1883</v>
      </c>
      <c r="D161" s="9">
        <v>45395</v>
      </c>
      <c r="E161" s="13" t="str">
        <f>+HYPERLINK("http://trademark.i-assist.jp/data/china/image_1883th/75099857.pdf","75099857")</f>
        <v>75099857</v>
      </c>
      <c r="F161" s="7" t="s">
        <v>451</v>
      </c>
      <c r="G161" s="7" t="s">
        <v>452</v>
      </c>
      <c r="H161" s="7" t="s">
        <v>453</v>
      </c>
      <c r="I161" s="9">
        <v>45240</v>
      </c>
    </row>
    <row r="162" spans="1:9" x14ac:dyDescent="0.15">
      <c r="A162" s="6">
        <v>161</v>
      </c>
      <c r="B162" s="7" t="s">
        <v>9</v>
      </c>
      <c r="C162" s="8">
        <v>1883</v>
      </c>
      <c r="D162" s="9">
        <v>45395</v>
      </c>
      <c r="E162" s="13" t="str">
        <f>+HYPERLINK("http://trademark.i-assist.jp/data/china/image_1883th/75103316.pdf","75103316")</f>
        <v>75103316</v>
      </c>
      <c r="F162" s="7" t="s">
        <v>454</v>
      </c>
      <c r="G162" s="7" t="s">
        <v>455</v>
      </c>
      <c r="H162" s="7" t="s">
        <v>456</v>
      </c>
      <c r="I162" s="9">
        <v>45240</v>
      </c>
    </row>
    <row r="163" spans="1:9" x14ac:dyDescent="0.15">
      <c r="A163" s="6">
        <v>162</v>
      </c>
      <c r="B163" s="7" t="s">
        <v>9</v>
      </c>
      <c r="C163" s="8">
        <v>1883</v>
      </c>
      <c r="D163" s="9">
        <v>45395</v>
      </c>
      <c r="E163" s="13" t="str">
        <f>+HYPERLINK("http://trademark.i-assist.jp/data/china/image_1883th/75122205.pdf","75122205")</f>
        <v>75122205</v>
      </c>
      <c r="F163" s="7" t="s">
        <v>457</v>
      </c>
      <c r="G163" s="7" t="s">
        <v>458</v>
      </c>
      <c r="H163" s="7" t="s">
        <v>459</v>
      </c>
      <c r="I163" s="9">
        <v>45243</v>
      </c>
    </row>
    <row r="164" spans="1:9" x14ac:dyDescent="0.15">
      <c r="A164" s="6">
        <v>163</v>
      </c>
      <c r="B164" s="7" t="s">
        <v>9</v>
      </c>
      <c r="C164" s="8">
        <v>1883</v>
      </c>
      <c r="D164" s="9">
        <v>45395</v>
      </c>
      <c r="E164" s="13" t="str">
        <f>+HYPERLINK("http://trademark.i-assist.jp/data/china/image_1883th/75123628.pdf","75123628")</f>
        <v>75123628</v>
      </c>
      <c r="F164" s="7" t="s">
        <v>460</v>
      </c>
      <c r="G164" s="7" t="s">
        <v>461</v>
      </c>
      <c r="H164" s="7" t="s">
        <v>462</v>
      </c>
      <c r="I164" s="9">
        <v>45243</v>
      </c>
    </row>
    <row r="165" spans="1:9" ht="27" x14ac:dyDescent="0.15">
      <c r="A165" s="6">
        <v>164</v>
      </c>
      <c r="B165" s="7" t="s">
        <v>9</v>
      </c>
      <c r="C165" s="8">
        <v>1883</v>
      </c>
      <c r="D165" s="9">
        <v>45395</v>
      </c>
      <c r="E165" s="13" t="str">
        <f>+HYPERLINK("http://trademark.i-assist.jp/data/china/image_1883th/75125244.pdf","75125244")</f>
        <v>75125244</v>
      </c>
      <c r="F165" s="7" t="s">
        <v>463</v>
      </c>
      <c r="G165" s="7" t="s">
        <v>464</v>
      </c>
      <c r="H165" s="7" t="s">
        <v>465</v>
      </c>
      <c r="I165" s="9">
        <v>45243</v>
      </c>
    </row>
    <row r="166" spans="1:9" ht="27" x14ac:dyDescent="0.15">
      <c r="A166" s="6">
        <v>165</v>
      </c>
      <c r="B166" s="7" t="s">
        <v>9</v>
      </c>
      <c r="C166" s="8">
        <v>1883</v>
      </c>
      <c r="D166" s="9">
        <v>45395</v>
      </c>
      <c r="E166" s="13" t="str">
        <f>+HYPERLINK("http://trademark.i-assist.jp/data/china/image_1883th/75137008.pdf","75137008")</f>
        <v>75137008</v>
      </c>
      <c r="F166" s="7" t="s">
        <v>466</v>
      </c>
      <c r="G166" s="7" t="s">
        <v>464</v>
      </c>
      <c r="H166" s="7" t="s">
        <v>467</v>
      </c>
      <c r="I166" s="9">
        <v>45243</v>
      </c>
    </row>
    <row r="167" spans="1:9" ht="27" x14ac:dyDescent="0.15">
      <c r="A167" s="6">
        <v>166</v>
      </c>
      <c r="B167" s="7" t="s">
        <v>9</v>
      </c>
      <c r="C167" s="8">
        <v>1883</v>
      </c>
      <c r="D167" s="9">
        <v>45395</v>
      </c>
      <c r="E167" s="13" t="str">
        <f>+HYPERLINK("http://trademark.i-assist.jp/data/china/image_1883th/75154781.pdf","75154781")</f>
        <v>75154781</v>
      </c>
      <c r="F167" s="7" t="s">
        <v>468</v>
      </c>
      <c r="G167" s="7" t="s">
        <v>469</v>
      </c>
      <c r="H167" s="7" t="s">
        <v>470</v>
      </c>
      <c r="I167" s="9">
        <v>45244</v>
      </c>
    </row>
    <row r="168" spans="1:9" x14ac:dyDescent="0.15">
      <c r="A168" s="6">
        <v>167</v>
      </c>
      <c r="B168" s="7" t="s">
        <v>9</v>
      </c>
      <c r="C168" s="8">
        <v>1883</v>
      </c>
      <c r="D168" s="9">
        <v>45395</v>
      </c>
      <c r="E168" s="13" t="str">
        <f>+HYPERLINK("http://trademark.i-assist.jp/data/china/image_1883th/75162271.pdf","75162271")</f>
        <v>75162271</v>
      </c>
      <c r="F168" s="7" t="s">
        <v>471</v>
      </c>
      <c r="G168" s="7" t="s">
        <v>472</v>
      </c>
      <c r="H168" s="7" t="s">
        <v>473</v>
      </c>
      <c r="I168" s="9">
        <v>45244</v>
      </c>
    </row>
    <row r="169" spans="1:9" x14ac:dyDescent="0.15">
      <c r="A169" s="6">
        <v>168</v>
      </c>
      <c r="B169" s="7" t="s">
        <v>9</v>
      </c>
      <c r="C169" s="8">
        <v>1883</v>
      </c>
      <c r="D169" s="9">
        <v>45395</v>
      </c>
      <c r="E169" s="13" t="str">
        <f>+HYPERLINK("http://trademark.i-assist.jp/data/china/image_1883th/75183691.pdf","75183691")</f>
        <v>75183691</v>
      </c>
      <c r="F169" s="7" t="s">
        <v>474</v>
      </c>
      <c r="G169" s="7" t="s">
        <v>475</v>
      </c>
      <c r="H169" s="7" t="s">
        <v>476</v>
      </c>
      <c r="I169" s="9">
        <v>45245</v>
      </c>
    </row>
    <row r="170" spans="1:9" x14ac:dyDescent="0.15">
      <c r="A170" s="6">
        <v>169</v>
      </c>
      <c r="B170" s="7" t="s">
        <v>9</v>
      </c>
      <c r="C170" s="8">
        <v>1883</v>
      </c>
      <c r="D170" s="9">
        <v>45395</v>
      </c>
      <c r="E170" s="13" t="str">
        <f>+HYPERLINK("http://trademark.i-assist.jp/data/china/image_1883th/75197961.pdf","75197961")</f>
        <v>75197961</v>
      </c>
      <c r="F170" s="7" t="s">
        <v>477</v>
      </c>
      <c r="G170" s="7" t="s">
        <v>478</v>
      </c>
      <c r="H170" s="7" t="s">
        <v>479</v>
      </c>
      <c r="I170" s="9">
        <v>45245</v>
      </c>
    </row>
    <row r="171" spans="1:9" ht="27" x14ac:dyDescent="0.15">
      <c r="A171" s="6">
        <v>170</v>
      </c>
      <c r="B171" s="7" t="s">
        <v>9</v>
      </c>
      <c r="C171" s="8">
        <v>1883</v>
      </c>
      <c r="D171" s="9">
        <v>45395</v>
      </c>
      <c r="E171" s="13" t="str">
        <f>+HYPERLINK("http://trademark.i-assist.jp/data/china/image_1883th/75215697.pdf","75215697")</f>
        <v>75215697</v>
      </c>
      <c r="F171" s="7" t="s">
        <v>480</v>
      </c>
      <c r="G171" s="7" t="s">
        <v>481</v>
      </c>
      <c r="H171" s="7" t="s">
        <v>482</v>
      </c>
      <c r="I171" s="9">
        <v>45246</v>
      </c>
    </row>
    <row r="172" spans="1:9" x14ac:dyDescent="0.15">
      <c r="A172" s="6">
        <v>171</v>
      </c>
      <c r="B172" s="7" t="s">
        <v>9</v>
      </c>
      <c r="C172" s="8">
        <v>1883</v>
      </c>
      <c r="D172" s="9">
        <v>45395</v>
      </c>
      <c r="E172" s="13" t="str">
        <f>+HYPERLINK("http://trademark.i-assist.jp/data/china/image_1883th/75219585.pdf","75219585")</f>
        <v>75219585</v>
      </c>
      <c r="F172" s="7" t="s">
        <v>57</v>
      </c>
      <c r="G172" s="7" t="s">
        <v>483</v>
      </c>
      <c r="H172" s="7" t="s">
        <v>484</v>
      </c>
      <c r="I172" s="9">
        <v>45246</v>
      </c>
    </row>
    <row r="173" spans="1:9" x14ac:dyDescent="0.15">
      <c r="A173" s="6">
        <v>172</v>
      </c>
      <c r="B173" s="7" t="s">
        <v>9</v>
      </c>
      <c r="C173" s="8">
        <v>1883</v>
      </c>
      <c r="D173" s="9">
        <v>45395</v>
      </c>
      <c r="E173" s="13" t="str">
        <f>+HYPERLINK("http://trademark.i-assist.jp/data/china/image_1883th/75249485.pdf","75249485")</f>
        <v>75249485</v>
      </c>
      <c r="F173" s="7" t="s">
        <v>485</v>
      </c>
      <c r="G173" s="7" t="s">
        <v>483</v>
      </c>
      <c r="H173" s="7" t="s">
        <v>486</v>
      </c>
      <c r="I173" s="9">
        <v>45247</v>
      </c>
    </row>
    <row r="174" spans="1:9" x14ac:dyDescent="0.15">
      <c r="A174" s="6">
        <v>173</v>
      </c>
      <c r="B174" s="7" t="s">
        <v>9</v>
      </c>
      <c r="C174" s="8">
        <v>1883</v>
      </c>
      <c r="D174" s="9">
        <v>45395</v>
      </c>
      <c r="E174" s="13" t="str">
        <f>+HYPERLINK("http://trademark.i-assist.jp/data/china/image_1883th/75252145.pdf","75252145")</f>
        <v>75252145</v>
      </c>
      <c r="F174" s="7" t="s">
        <v>487</v>
      </c>
      <c r="G174" s="7" t="s">
        <v>488</v>
      </c>
      <c r="H174" s="7" t="s">
        <v>489</v>
      </c>
      <c r="I174" s="9">
        <v>45247</v>
      </c>
    </row>
    <row r="175" spans="1:9" x14ac:dyDescent="0.15">
      <c r="A175" s="6">
        <v>174</v>
      </c>
      <c r="B175" s="7" t="s">
        <v>9</v>
      </c>
      <c r="C175" s="8">
        <v>1883</v>
      </c>
      <c r="D175" s="9">
        <v>45395</v>
      </c>
      <c r="E175" s="13" t="str">
        <f>+HYPERLINK("http://trademark.i-assist.jp/data/china/image_1883th/75255319.pdf","75255319")</f>
        <v>75255319</v>
      </c>
      <c r="F175" s="7" t="s">
        <v>490</v>
      </c>
      <c r="G175" s="7" t="s">
        <v>491</v>
      </c>
      <c r="H175" s="7" t="s">
        <v>492</v>
      </c>
      <c r="I175" s="9">
        <v>45247</v>
      </c>
    </row>
    <row r="176" spans="1:9" ht="40.5" x14ac:dyDescent="0.15">
      <c r="A176" s="6">
        <v>175</v>
      </c>
      <c r="B176" s="7" t="s">
        <v>9</v>
      </c>
      <c r="C176" s="8">
        <v>1883</v>
      </c>
      <c r="D176" s="9">
        <v>45395</v>
      </c>
      <c r="E176" s="13" t="str">
        <f>+HYPERLINK("http://trademark.i-assist.jp/data/china/image_1883th/75260474.pdf","75260474")</f>
        <v>75260474</v>
      </c>
      <c r="F176" s="7" t="s">
        <v>493</v>
      </c>
      <c r="G176" s="7" t="s">
        <v>494</v>
      </c>
      <c r="H176" s="7" t="s">
        <v>495</v>
      </c>
      <c r="I176" s="9">
        <v>45248</v>
      </c>
    </row>
    <row r="177" spans="1:9" ht="27" x14ac:dyDescent="0.15">
      <c r="A177" s="6">
        <v>176</v>
      </c>
      <c r="B177" s="7" t="s">
        <v>9</v>
      </c>
      <c r="C177" s="8">
        <v>1883</v>
      </c>
      <c r="D177" s="9">
        <v>45395</v>
      </c>
      <c r="E177" s="13" t="str">
        <f>+HYPERLINK("http://trademark.i-assist.jp/data/china/image_1883th/75263061.pdf","75263061")</f>
        <v>75263061</v>
      </c>
      <c r="F177" s="7" t="s">
        <v>496</v>
      </c>
      <c r="G177" s="7" t="s">
        <v>497</v>
      </c>
      <c r="H177" s="7" t="s">
        <v>498</v>
      </c>
      <c r="I177" s="9">
        <v>45248</v>
      </c>
    </row>
    <row r="178" spans="1:9" x14ac:dyDescent="0.15">
      <c r="A178" s="6">
        <v>177</v>
      </c>
      <c r="B178" s="7" t="s">
        <v>9</v>
      </c>
      <c r="C178" s="8">
        <v>1883</v>
      </c>
      <c r="D178" s="9">
        <v>45395</v>
      </c>
      <c r="E178" s="13" t="str">
        <f>+HYPERLINK("http://trademark.i-assist.jp/data/china/image_1883th/75263831.pdf","75263831")</f>
        <v>75263831</v>
      </c>
      <c r="F178" s="7" t="s">
        <v>499</v>
      </c>
      <c r="G178" s="7" t="s">
        <v>500</v>
      </c>
      <c r="H178" s="7" t="s">
        <v>501</v>
      </c>
      <c r="I178" s="9">
        <v>45248</v>
      </c>
    </row>
    <row r="179" spans="1:9" x14ac:dyDescent="0.15">
      <c r="A179" s="6">
        <v>178</v>
      </c>
      <c r="B179" s="7" t="s">
        <v>9</v>
      </c>
      <c r="C179" s="8">
        <v>1883</v>
      </c>
      <c r="D179" s="9">
        <v>45395</v>
      </c>
      <c r="E179" s="13" t="str">
        <f>+HYPERLINK("http://trademark.i-assist.jp/data/china/image_1883th/75286148.pdf","75286148")</f>
        <v>75286148</v>
      </c>
      <c r="F179" s="7" t="s">
        <v>502</v>
      </c>
      <c r="G179" s="7" t="s">
        <v>503</v>
      </c>
      <c r="H179" s="7" t="s">
        <v>504</v>
      </c>
      <c r="I179" s="9">
        <v>45250</v>
      </c>
    </row>
    <row r="180" spans="1:9" ht="27" x14ac:dyDescent="0.15">
      <c r="A180" s="6">
        <v>179</v>
      </c>
      <c r="B180" s="7" t="s">
        <v>9</v>
      </c>
      <c r="C180" s="8">
        <v>1883</v>
      </c>
      <c r="D180" s="9">
        <v>45395</v>
      </c>
      <c r="E180" s="13" t="str">
        <f>+HYPERLINK("http://trademark.i-assist.jp/data/china/image_1883th/75300647.pdf","75300647")</f>
        <v>75300647</v>
      </c>
      <c r="F180" s="7" t="s">
        <v>505</v>
      </c>
      <c r="G180" s="7" t="s">
        <v>506</v>
      </c>
      <c r="H180" s="7" t="s">
        <v>507</v>
      </c>
      <c r="I180" s="9">
        <v>45251</v>
      </c>
    </row>
    <row r="181" spans="1:9" x14ac:dyDescent="0.15">
      <c r="A181" s="6">
        <v>180</v>
      </c>
      <c r="B181" s="7" t="s">
        <v>9</v>
      </c>
      <c r="C181" s="8">
        <v>1883</v>
      </c>
      <c r="D181" s="9">
        <v>45395</v>
      </c>
      <c r="E181" s="13" t="str">
        <f>+HYPERLINK("http://trademark.i-assist.jp/data/china/image_1883th/75318427.pdf","75318427")</f>
        <v>75318427</v>
      </c>
      <c r="F181" s="7" t="s">
        <v>508</v>
      </c>
      <c r="G181" s="7" t="s">
        <v>509</v>
      </c>
      <c r="H181" s="7" t="s">
        <v>510</v>
      </c>
      <c r="I181" s="9">
        <v>45251</v>
      </c>
    </row>
    <row r="182" spans="1:9" x14ac:dyDescent="0.15">
      <c r="A182" s="6">
        <v>181</v>
      </c>
      <c r="B182" s="7" t="s">
        <v>9</v>
      </c>
      <c r="C182" s="8">
        <v>1883</v>
      </c>
      <c r="D182" s="9">
        <v>45395</v>
      </c>
      <c r="E182" s="13" t="str">
        <f>+HYPERLINK("http://trademark.i-assist.jp/data/china/image_1883th/75321965.pdf","75321965")</f>
        <v>75321965</v>
      </c>
      <c r="F182" s="7" t="s">
        <v>511</v>
      </c>
      <c r="G182" s="7" t="s">
        <v>512</v>
      </c>
      <c r="H182" s="7" t="s">
        <v>513</v>
      </c>
      <c r="I182" s="9">
        <v>45251</v>
      </c>
    </row>
    <row r="183" spans="1:9" x14ac:dyDescent="0.15">
      <c r="A183" s="6">
        <v>182</v>
      </c>
      <c r="B183" s="7" t="s">
        <v>9</v>
      </c>
      <c r="C183" s="8">
        <v>1883</v>
      </c>
      <c r="D183" s="9">
        <v>45395</v>
      </c>
      <c r="E183" s="13" t="str">
        <f>+HYPERLINK("http://trademark.i-assist.jp/data/china/image_1883th/75327962.pdf","75327962")</f>
        <v>75327962</v>
      </c>
      <c r="F183" s="7" t="s">
        <v>514</v>
      </c>
      <c r="G183" s="7" t="s">
        <v>515</v>
      </c>
      <c r="H183" s="7" t="s">
        <v>516</v>
      </c>
      <c r="I183" s="9">
        <v>45252</v>
      </c>
    </row>
    <row r="184" spans="1:9" ht="27" x14ac:dyDescent="0.15">
      <c r="A184" s="6">
        <v>183</v>
      </c>
      <c r="B184" s="7" t="s">
        <v>9</v>
      </c>
      <c r="C184" s="8">
        <v>1883</v>
      </c>
      <c r="D184" s="9">
        <v>45395</v>
      </c>
      <c r="E184" s="13" t="str">
        <f>+HYPERLINK("http://trademark.i-assist.jp/data/china/image_1883th/75333055.pdf","75333055")</f>
        <v>75333055</v>
      </c>
      <c r="F184" s="7" t="s">
        <v>517</v>
      </c>
      <c r="G184" s="7" t="s">
        <v>518</v>
      </c>
      <c r="H184" s="7" t="s">
        <v>519</v>
      </c>
      <c r="I184" s="9">
        <v>45252</v>
      </c>
    </row>
    <row r="185" spans="1:9" ht="27" x14ac:dyDescent="0.15">
      <c r="A185" s="6">
        <v>184</v>
      </c>
      <c r="B185" s="7" t="s">
        <v>9</v>
      </c>
      <c r="C185" s="8">
        <v>1883</v>
      </c>
      <c r="D185" s="9">
        <v>45395</v>
      </c>
      <c r="E185" s="13" t="str">
        <f>+HYPERLINK("http://trademark.i-assist.jp/data/china/image_1883th/75338291.pdf","75338291")</f>
        <v>75338291</v>
      </c>
      <c r="F185" s="7" t="s">
        <v>520</v>
      </c>
      <c r="G185" s="7" t="s">
        <v>518</v>
      </c>
      <c r="H185" s="7" t="s">
        <v>521</v>
      </c>
      <c r="I185" s="9">
        <v>45252</v>
      </c>
    </row>
    <row r="186" spans="1:9" x14ac:dyDescent="0.15">
      <c r="A186" s="6">
        <v>185</v>
      </c>
      <c r="B186" s="7" t="s">
        <v>9</v>
      </c>
      <c r="C186" s="8">
        <v>1883</v>
      </c>
      <c r="D186" s="9">
        <v>45395</v>
      </c>
      <c r="E186" s="13" t="str">
        <f>+HYPERLINK("http://trademark.i-assist.jp/data/china/image_1883th/75352728.pdf","75352728")</f>
        <v>75352728</v>
      </c>
      <c r="F186" s="7" t="s">
        <v>522</v>
      </c>
      <c r="G186" s="7" t="s">
        <v>523</v>
      </c>
      <c r="H186" s="7" t="s">
        <v>524</v>
      </c>
      <c r="I186" s="9">
        <v>45253</v>
      </c>
    </row>
    <row r="187" spans="1:9" x14ac:dyDescent="0.15">
      <c r="A187" s="6">
        <v>186</v>
      </c>
      <c r="B187" s="7" t="s">
        <v>9</v>
      </c>
      <c r="C187" s="8">
        <v>1883</v>
      </c>
      <c r="D187" s="9">
        <v>45395</v>
      </c>
      <c r="E187" s="13" t="str">
        <f>+HYPERLINK("http://trademark.i-assist.jp/data/china/image_1883th/75384013.pdf","75384013")</f>
        <v>75384013</v>
      </c>
      <c r="F187" s="7" t="s">
        <v>525</v>
      </c>
      <c r="G187" s="7" t="s">
        <v>526</v>
      </c>
      <c r="H187" s="7" t="s">
        <v>527</v>
      </c>
      <c r="I187" s="9">
        <v>45254</v>
      </c>
    </row>
    <row r="188" spans="1:9" x14ac:dyDescent="0.15">
      <c r="A188" s="6">
        <v>187</v>
      </c>
      <c r="B188" s="7" t="s">
        <v>9</v>
      </c>
      <c r="C188" s="8">
        <v>1883</v>
      </c>
      <c r="D188" s="9">
        <v>45395</v>
      </c>
      <c r="E188" s="13" t="str">
        <f>+HYPERLINK("http://trademark.i-assist.jp/data/china/image_1883th/75396344.pdf","75396344")</f>
        <v>75396344</v>
      </c>
      <c r="F188" s="7" t="s">
        <v>528</v>
      </c>
      <c r="G188" s="7" t="s">
        <v>529</v>
      </c>
      <c r="H188" s="7" t="s">
        <v>530</v>
      </c>
      <c r="I188" s="9">
        <v>45254</v>
      </c>
    </row>
    <row r="189" spans="1:9" x14ac:dyDescent="0.15">
      <c r="A189" s="6">
        <v>188</v>
      </c>
      <c r="B189" s="7" t="s">
        <v>9</v>
      </c>
      <c r="C189" s="8">
        <v>1883</v>
      </c>
      <c r="D189" s="9">
        <v>45395</v>
      </c>
      <c r="E189" s="13" t="str">
        <f>+HYPERLINK("http://trademark.i-assist.jp/data/china/image_1883th/75398917.pdf","75398917")</f>
        <v>75398917</v>
      </c>
      <c r="F189" s="7" t="s">
        <v>531</v>
      </c>
      <c r="G189" s="7" t="s">
        <v>532</v>
      </c>
      <c r="H189" s="7" t="s">
        <v>533</v>
      </c>
      <c r="I189" s="9">
        <v>45254</v>
      </c>
    </row>
    <row r="190" spans="1:9" x14ac:dyDescent="0.15">
      <c r="A190" s="6">
        <v>189</v>
      </c>
      <c r="B190" s="7" t="s">
        <v>9</v>
      </c>
      <c r="C190" s="8">
        <v>1883</v>
      </c>
      <c r="D190" s="9">
        <v>45395</v>
      </c>
      <c r="E190" s="13" t="str">
        <f>+HYPERLINK("http://trademark.i-assist.jp/data/china/image_1883th/75403053.pdf","75403053")</f>
        <v>75403053</v>
      </c>
      <c r="F190" s="7" t="s">
        <v>534</v>
      </c>
      <c r="G190" s="7" t="s">
        <v>532</v>
      </c>
      <c r="H190" s="7" t="s">
        <v>535</v>
      </c>
      <c r="I190" s="9">
        <v>45254</v>
      </c>
    </row>
    <row r="191" spans="1:9" x14ac:dyDescent="0.15">
      <c r="A191" s="6">
        <v>190</v>
      </c>
      <c r="B191" s="7" t="s">
        <v>9</v>
      </c>
      <c r="C191" s="8">
        <v>1883</v>
      </c>
      <c r="D191" s="9">
        <v>45395</v>
      </c>
      <c r="E191" s="13" t="str">
        <f>+HYPERLINK("http://trademark.i-assist.jp/data/china/image_1883th/75409612.pdf","75409612")</f>
        <v>75409612</v>
      </c>
      <c r="F191" s="7" t="s">
        <v>536</v>
      </c>
      <c r="G191" s="7" t="s">
        <v>537</v>
      </c>
      <c r="H191" s="7" t="s">
        <v>538</v>
      </c>
      <c r="I191" s="9">
        <v>45255</v>
      </c>
    </row>
    <row r="192" spans="1:9" x14ac:dyDescent="0.15">
      <c r="A192" s="6">
        <v>191</v>
      </c>
      <c r="B192" s="7" t="s">
        <v>9</v>
      </c>
      <c r="C192" s="8">
        <v>1883</v>
      </c>
      <c r="D192" s="9">
        <v>45395</v>
      </c>
      <c r="E192" s="13" t="str">
        <f>+HYPERLINK("http://trademark.i-assist.jp/data/china/image_1883th/75421052.pdf","75421052")</f>
        <v>75421052</v>
      </c>
      <c r="F192" s="7" t="s">
        <v>539</v>
      </c>
      <c r="G192" s="7" t="s">
        <v>540</v>
      </c>
      <c r="H192" s="7" t="s">
        <v>541</v>
      </c>
      <c r="I192" s="9">
        <v>45257</v>
      </c>
    </row>
    <row r="193" spans="1:9" x14ac:dyDescent="0.15">
      <c r="A193" s="6">
        <v>192</v>
      </c>
      <c r="B193" s="7" t="s">
        <v>9</v>
      </c>
      <c r="C193" s="8">
        <v>1883</v>
      </c>
      <c r="D193" s="9">
        <v>45395</v>
      </c>
      <c r="E193" s="13" t="str">
        <f>+HYPERLINK("http://trademark.i-assist.jp/data/china/image_1883th/75422522.pdf","75422522")</f>
        <v>75422522</v>
      </c>
      <c r="F193" s="7" t="s">
        <v>542</v>
      </c>
      <c r="G193" s="7" t="s">
        <v>543</v>
      </c>
      <c r="H193" s="7" t="s">
        <v>544</v>
      </c>
      <c r="I193" s="9">
        <v>45257</v>
      </c>
    </row>
    <row r="194" spans="1:9" x14ac:dyDescent="0.15">
      <c r="A194" s="6">
        <v>193</v>
      </c>
      <c r="B194" s="7" t="s">
        <v>9</v>
      </c>
      <c r="C194" s="8">
        <v>1883</v>
      </c>
      <c r="D194" s="9">
        <v>45395</v>
      </c>
      <c r="E194" s="13" t="str">
        <f>+HYPERLINK("http://trademark.i-assist.jp/data/china/image_1883th/75425443.pdf","75425443")</f>
        <v>75425443</v>
      </c>
      <c r="F194" s="7" t="s">
        <v>57</v>
      </c>
      <c r="G194" s="7" t="s">
        <v>545</v>
      </c>
      <c r="H194" s="7" t="s">
        <v>546</v>
      </c>
      <c r="I194" s="9">
        <v>45257</v>
      </c>
    </row>
    <row r="195" spans="1:9" x14ac:dyDescent="0.15">
      <c r="A195" s="6">
        <v>194</v>
      </c>
      <c r="B195" s="7" t="s">
        <v>9</v>
      </c>
      <c r="C195" s="8">
        <v>1883</v>
      </c>
      <c r="D195" s="9">
        <v>45395</v>
      </c>
      <c r="E195" s="13" t="str">
        <f>+HYPERLINK("http://trademark.i-assist.jp/data/china/image_1883th/75437267.pdf","75437267")</f>
        <v>75437267</v>
      </c>
      <c r="F195" s="7" t="s">
        <v>547</v>
      </c>
      <c r="G195" s="7" t="s">
        <v>548</v>
      </c>
      <c r="H195" s="7" t="s">
        <v>549</v>
      </c>
      <c r="I195" s="9">
        <v>45257</v>
      </c>
    </row>
    <row r="196" spans="1:9" ht="27" x14ac:dyDescent="0.15">
      <c r="A196" s="6">
        <v>195</v>
      </c>
      <c r="B196" s="7" t="s">
        <v>9</v>
      </c>
      <c r="C196" s="8">
        <v>1883</v>
      </c>
      <c r="D196" s="9">
        <v>45395</v>
      </c>
      <c r="E196" s="13" t="str">
        <f>+HYPERLINK("http://trademark.i-assist.jp/data/china/image_1883th/75440034.pdf","75440034")</f>
        <v>75440034</v>
      </c>
      <c r="F196" s="7" t="s">
        <v>550</v>
      </c>
      <c r="G196" s="7" t="s">
        <v>551</v>
      </c>
      <c r="H196" s="7" t="s">
        <v>552</v>
      </c>
      <c r="I196" s="9">
        <v>45257</v>
      </c>
    </row>
    <row r="197" spans="1:9" x14ac:dyDescent="0.15">
      <c r="A197" s="6">
        <v>196</v>
      </c>
      <c r="B197" s="7" t="s">
        <v>9</v>
      </c>
      <c r="C197" s="8">
        <v>1883</v>
      </c>
      <c r="D197" s="9">
        <v>45395</v>
      </c>
      <c r="E197" s="13" t="str">
        <f>+HYPERLINK("http://trademark.i-assist.jp/data/china/image_1883th/75464151.pdf","75464151")</f>
        <v>75464151</v>
      </c>
      <c r="F197" s="7" t="s">
        <v>553</v>
      </c>
      <c r="G197" s="7" t="s">
        <v>554</v>
      </c>
      <c r="H197" s="7" t="s">
        <v>555</v>
      </c>
      <c r="I197" s="9">
        <v>45258</v>
      </c>
    </row>
    <row r="198" spans="1:9" ht="27" x14ac:dyDescent="0.15">
      <c r="A198" s="6">
        <v>197</v>
      </c>
      <c r="B198" s="7" t="s">
        <v>9</v>
      </c>
      <c r="C198" s="8">
        <v>1883</v>
      </c>
      <c r="D198" s="9">
        <v>45395</v>
      </c>
      <c r="E198" s="13" t="str">
        <f>+HYPERLINK("http://trademark.i-assist.jp/data/china/image_1883th/75469438.pdf","75469438")</f>
        <v>75469438</v>
      </c>
      <c r="F198" s="7" t="s">
        <v>556</v>
      </c>
      <c r="G198" s="7" t="s">
        <v>557</v>
      </c>
      <c r="H198" s="7" t="s">
        <v>558</v>
      </c>
      <c r="I198" s="9">
        <v>45259</v>
      </c>
    </row>
    <row r="199" spans="1:9" ht="27" x14ac:dyDescent="0.15">
      <c r="A199" s="6">
        <v>198</v>
      </c>
      <c r="B199" s="7" t="s">
        <v>9</v>
      </c>
      <c r="C199" s="8">
        <v>1883</v>
      </c>
      <c r="D199" s="9">
        <v>45395</v>
      </c>
      <c r="E199" s="13" t="str">
        <f>+HYPERLINK("http://trademark.i-assist.jp/data/china/image_1883th/75469514.pdf","75469514")</f>
        <v>75469514</v>
      </c>
      <c r="F199" s="7" t="s">
        <v>559</v>
      </c>
      <c r="G199" s="7" t="s">
        <v>557</v>
      </c>
      <c r="H199" s="7" t="s">
        <v>560</v>
      </c>
      <c r="I199" s="9">
        <v>45259</v>
      </c>
    </row>
    <row r="200" spans="1:9" x14ac:dyDescent="0.15">
      <c r="A200" s="6">
        <v>199</v>
      </c>
      <c r="B200" s="7" t="s">
        <v>9</v>
      </c>
      <c r="C200" s="8">
        <v>1883</v>
      </c>
      <c r="D200" s="9">
        <v>45395</v>
      </c>
      <c r="E200" s="13" t="str">
        <f>+HYPERLINK("http://trademark.i-assist.jp/data/china/image_1883th/75470697.pdf","75470697")</f>
        <v>75470697</v>
      </c>
      <c r="F200" s="7" t="s">
        <v>561</v>
      </c>
      <c r="G200" s="7" t="s">
        <v>562</v>
      </c>
      <c r="H200" s="7" t="s">
        <v>563</v>
      </c>
      <c r="I200" s="9">
        <v>45259</v>
      </c>
    </row>
    <row r="201" spans="1:9" x14ac:dyDescent="0.15">
      <c r="A201" s="6">
        <v>200</v>
      </c>
      <c r="B201" s="7" t="s">
        <v>9</v>
      </c>
      <c r="C201" s="8">
        <v>1883</v>
      </c>
      <c r="D201" s="9">
        <v>45395</v>
      </c>
      <c r="E201" s="13" t="str">
        <f>+HYPERLINK("http://trademark.i-assist.jp/data/china/image_1883th/75474997.pdf","75474997")</f>
        <v>75474997</v>
      </c>
      <c r="F201" s="7" t="s">
        <v>564</v>
      </c>
      <c r="G201" s="7" t="s">
        <v>565</v>
      </c>
      <c r="H201" s="7" t="s">
        <v>566</v>
      </c>
      <c r="I201" s="9">
        <v>45259</v>
      </c>
    </row>
    <row r="202" spans="1:9" ht="27" x14ac:dyDescent="0.15">
      <c r="A202" s="6">
        <v>201</v>
      </c>
      <c r="B202" s="7" t="s">
        <v>9</v>
      </c>
      <c r="C202" s="8">
        <v>1883</v>
      </c>
      <c r="D202" s="9">
        <v>45395</v>
      </c>
      <c r="E202" s="13" t="str">
        <f>+HYPERLINK("http://trademark.i-assist.jp/data/china/image_1883th/75476646.pdf","75476646")</f>
        <v>75476646</v>
      </c>
      <c r="F202" s="7" t="s">
        <v>567</v>
      </c>
      <c r="G202" s="7" t="s">
        <v>557</v>
      </c>
      <c r="H202" s="7" t="s">
        <v>568</v>
      </c>
      <c r="I202" s="9">
        <v>45259</v>
      </c>
    </row>
    <row r="203" spans="1:9" x14ac:dyDescent="0.15">
      <c r="A203" s="6">
        <v>202</v>
      </c>
      <c r="B203" s="7" t="s">
        <v>9</v>
      </c>
      <c r="C203" s="8">
        <v>1883</v>
      </c>
      <c r="D203" s="9">
        <v>45395</v>
      </c>
      <c r="E203" s="13" t="str">
        <f>+HYPERLINK("http://trademark.i-assist.jp/data/china/image_1883th/75478040.pdf","75478040")</f>
        <v>75478040</v>
      </c>
      <c r="F203" s="7" t="s">
        <v>569</v>
      </c>
      <c r="G203" s="7" t="s">
        <v>570</v>
      </c>
      <c r="H203" s="7" t="s">
        <v>571</v>
      </c>
      <c r="I203" s="9">
        <v>45259</v>
      </c>
    </row>
    <row r="204" spans="1:9" x14ac:dyDescent="0.15">
      <c r="A204" s="6">
        <v>203</v>
      </c>
      <c r="B204" s="7" t="s">
        <v>9</v>
      </c>
      <c r="C204" s="8">
        <v>1883</v>
      </c>
      <c r="D204" s="9">
        <v>45395</v>
      </c>
      <c r="E204" s="13" t="str">
        <f>+HYPERLINK("http://trademark.i-assist.jp/data/china/image_1883th/75478917.pdf","75478917")</f>
        <v>75478917</v>
      </c>
      <c r="F204" s="7" t="s">
        <v>572</v>
      </c>
      <c r="G204" s="7" t="s">
        <v>573</v>
      </c>
      <c r="H204" s="7" t="s">
        <v>574</v>
      </c>
      <c r="I204" s="9">
        <v>45259</v>
      </c>
    </row>
    <row r="205" spans="1:9" ht="27" x14ac:dyDescent="0.15">
      <c r="A205" s="6">
        <v>204</v>
      </c>
      <c r="B205" s="7" t="s">
        <v>9</v>
      </c>
      <c r="C205" s="8">
        <v>1883</v>
      </c>
      <c r="D205" s="9">
        <v>45395</v>
      </c>
      <c r="E205" s="13" t="str">
        <f>+HYPERLINK("http://trademark.i-assist.jp/data/china/image_1883th/75479905.pdf","75479905")</f>
        <v>75479905</v>
      </c>
      <c r="F205" s="7" t="s">
        <v>575</v>
      </c>
      <c r="G205" s="7" t="s">
        <v>576</v>
      </c>
      <c r="H205" s="7" t="s">
        <v>577</v>
      </c>
      <c r="I205" s="9">
        <v>45259</v>
      </c>
    </row>
    <row r="206" spans="1:9" x14ac:dyDescent="0.15">
      <c r="A206" s="6">
        <v>205</v>
      </c>
      <c r="B206" s="7" t="s">
        <v>9</v>
      </c>
      <c r="C206" s="8">
        <v>1883</v>
      </c>
      <c r="D206" s="9">
        <v>45395</v>
      </c>
      <c r="E206" s="13" t="str">
        <f>+HYPERLINK("http://trademark.i-assist.jp/data/china/image_1883th/75482271.pdf","75482271")</f>
        <v>75482271</v>
      </c>
      <c r="F206" s="7" t="s">
        <v>578</v>
      </c>
      <c r="G206" s="7" t="s">
        <v>579</v>
      </c>
      <c r="H206" s="7" t="s">
        <v>580</v>
      </c>
      <c r="I206" s="9">
        <v>45259</v>
      </c>
    </row>
    <row r="207" spans="1:9" ht="27" x14ac:dyDescent="0.15">
      <c r="A207" s="6">
        <v>206</v>
      </c>
      <c r="B207" s="7" t="s">
        <v>9</v>
      </c>
      <c r="C207" s="8">
        <v>1883</v>
      </c>
      <c r="D207" s="9">
        <v>45395</v>
      </c>
      <c r="E207" s="13" t="str">
        <f>+HYPERLINK("http://trademark.i-assist.jp/data/china/image_1883th/75483184.pdf","75483184")</f>
        <v>75483184</v>
      </c>
      <c r="F207" s="7" t="s">
        <v>581</v>
      </c>
      <c r="G207" s="7" t="s">
        <v>557</v>
      </c>
      <c r="H207" s="7" t="s">
        <v>582</v>
      </c>
      <c r="I207" s="9">
        <v>45259</v>
      </c>
    </row>
    <row r="208" spans="1:9" x14ac:dyDescent="0.15">
      <c r="A208" s="6">
        <v>207</v>
      </c>
      <c r="B208" s="7" t="s">
        <v>9</v>
      </c>
      <c r="C208" s="8">
        <v>1883</v>
      </c>
      <c r="D208" s="9">
        <v>45395</v>
      </c>
      <c r="E208" s="13" t="str">
        <f>+HYPERLINK("http://trademark.i-assist.jp/data/china/image_1883th/75483393.pdf","75483393")</f>
        <v>75483393</v>
      </c>
      <c r="F208" s="7" t="s">
        <v>572</v>
      </c>
      <c r="G208" s="7" t="s">
        <v>573</v>
      </c>
      <c r="H208" s="7" t="s">
        <v>583</v>
      </c>
      <c r="I208" s="9">
        <v>45259</v>
      </c>
    </row>
    <row r="209" spans="1:9" ht="27" x14ac:dyDescent="0.15">
      <c r="A209" s="6">
        <v>208</v>
      </c>
      <c r="B209" s="7" t="s">
        <v>9</v>
      </c>
      <c r="C209" s="8">
        <v>1883</v>
      </c>
      <c r="D209" s="9">
        <v>45395</v>
      </c>
      <c r="E209" s="13" t="str">
        <f>+HYPERLINK("http://trademark.i-assist.jp/data/china/image_1883th/75484313.pdf","75484313")</f>
        <v>75484313</v>
      </c>
      <c r="F209" s="7" t="s">
        <v>584</v>
      </c>
      <c r="G209" s="7" t="s">
        <v>557</v>
      </c>
      <c r="H209" s="7" t="s">
        <v>585</v>
      </c>
      <c r="I209" s="9">
        <v>45259</v>
      </c>
    </row>
    <row r="210" spans="1:9" ht="27" x14ac:dyDescent="0.15">
      <c r="A210" s="6">
        <v>209</v>
      </c>
      <c r="B210" s="7" t="s">
        <v>9</v>
      </c>
      <c r="C210" s="8">
        <v>1883</v>
      </c>
      <c r="D210" s="9">
        <v>45395</v>
      </c>
      <c r="E210" s="13" t="str">
        <f>+HYPERLINK("http://trademark.i-assist.jp/data/china/image_1883th/75490225.pdf","75490225")</f>
        <v>75490225</v>
      </c>
      <c r="F210" s="7" t="s">
        <v>586</v>
      </c>
      <c r="G210" s="7" t="s">
        <v>557</v>
      </c>
      <c r="H210" s="7" t="s">
        <v>587</v>
      </c>
      <c r="I210" s="9">
        <v>45259</v>
      </c>
    </row>
    <row r="211" spans="1:9" x14ac:dyDescent="0.15">
      <c r="A211" s="6">
        <v>210</v>
      </c>
      <c r="B211" s="7" t="s">
        <v>9</v>
      </c>
      <c r="C211" s="8">
        <v>1883</v>
      </c>
      <c r="D211" s="9">
        <v>45395</v>
      </c>
      <c r="E211" s="13" t="str">
        <f>+HYPERLINK("http://trademark.i-assist.jp/data/china/image_1883th/75520109.pdf","75520109")</f>
        <v>75520109</v>
      </c>
      <c r="F211" s="7" t="s">
        <v>588</v>
      </c>
      <c r="G211" s="7" t="s">
        <v>589</v>
      </c>
      <c r="H211" s="7" t="s">
        <v>590</v>
      </c>
      <c r="I211" s="9">
        <v>45260</v>
      </c>
    </row>
    <row r="212" spans="1:9" x14ac:dyDescent="0.15">
      <c r="A212" s="6">
        <v>211</v>
      </c>
      <c r="B212" s="7" t="s">
        <v>9</v>
      </c>
      <c r="C212" s="8">
        <v>1883</v>
      </c>
      <c r="D212" s="9">
        <v>45395</v>
      </c>
      <c r="E212" s="13" t="str">
        <f>+HYPERLINK("http://trademark.i-assist.jp/data/china/image_1883th/75525231.pdf","75525231")</f>
        <v>75525231</v>
      </c>
      <c r="F212" s="7" t="s">
        <v>591</v>
      </c>
      <c r="G212" s="7" t="s">
        <v>592</v>
      </c>
      <c r="H212" s="7" t="s">
        <v>593</v>
      </c>
      <c r="I212" s="9">
        <v>45261</v>
      </c>
    </row>
    <row r="213" spans="1:9" x14ac:dyDescent="0.15">
      <c r="A213" s="6">
        <v>212</v>
      </c>
      <c r="B213" s="7" t="s">
        <v>9</v>
      </c>
      <c r="C213" s="8">
        <v>1883</v>
      </c>
      <c r="D213" s="9">
        <v>45395</v>
      </c>
      <c r="E213" s="13" t="str">
        <f>+HYPERLINK("http://trademark.i-assist.jp/data/china/image_1883th/75539495.pdf","75539495")</f>
        <v>75539495</v>
      </c>
      <c r="F213" s="7" t="s">
        <v>594</v>
      </c>
      <c r="G213" s="7" t="s">
        <v>595</v>
      </c>
      <c r="H213" s="7" t="s">
        <v>596</v>
      </c>
      <c r="I213" s="9">
        <v>45261</v>
      </c>
    </row>
    <row r="214" spans="1:9" x14ac:dyDescent="0.15">
      <c r="A214" s="6">
        <v>213</v>
      </c>
      <c r="B214" s="7" t="s">
        <v>9</v>
      </c>
      <c r="C214" s="8">
        <v>1883</v>
      </c>
      <c r="D214" s="9">
        <v>45395</v>
      </c>
      <c r="E214" s="13" t="str">
        <f>+HYPERLINK("http://trademark.i-assist.jp/data/china/image_1883th/75540044.pdf","75540044")</f>
        <v>75540044</v>
      </c>
      <c r="F214" s="7" t="s">
        <v>597</v>
      </c>
      <c r="G214" s="7" t="s">
        <v>598</v>
      </c>
      <c r="H214" s="7" t="s">
        <v>599</v>
      </c>
      <c r="I214" s="9">
        <v>45261</v>
      </c>
    </row>
    <row r="215" spans="1:9" x14ac:dyDescent="0.15">
      <c r="A215" s="6">
        <v>214</v>
      </c>
      <c r="B215" s="7" t="s">
        <v>9</v>
      </c>
      <c r="C215" s="8">
        <v>1883</v>
      </c>
      <c r="D215" s="9">
        <v>45395</v>
      </c>
      <c r="E215" s="13" t="str">
        <f>+HYPERLINK("http://trademark.i-assist.jp/data/china/image_1883th/75557426.pdf","75557426")</f>
        <v>75557426</v>
      </c>
      <c r="F215" s="7" t="s">
        <v>600</v>
      </c>
      <c r="G215" s="7" t="s">
        <v>601</v>
      </c>
      <c r="H215" s="7" t="s">
        <v>602</v>
      </c>
      <c r="I215" s="9">
        <v>45263</v>
      </c>
    </row>
    <row r="216" spans="1:9" ht="27" x14ac:dyDescent="0.15">
      <c r="A216" s="6">
        <v>215</v>
      </c>
      <c r="B216" s="7" t="s">
        <v>9</v>
      </c>
      <c r="C216" s="8">
        <v>1883</v>
      </c>
      <c r="D216" s="9">
        <v>45395</v>
      </c>
      <c r="E216" s="13" t="str">
        <f>+HYPERLINK("http://trademark.i-assist.jp/data/china/image_1883th/75562884.pdf","75562884")</f>
        <v>75562884</v>
      </c>
      <c r="F216" s="7" t="s">
        <v>603</v>
      </c>
      <c r="G216" s="7" t="s">
        <v>604</v>
      </c>
      <c r="H216" s="7" t="s">
        <v>605</v>
      </c>
      <c r="I216" s="9">
        <v>45264</v>
      </c>
    </row>
    <row r="217" spans="1:9" x14ac:dyDescent="0.15">
      <c r="A217" s="6">
        <v>216</v>
      </c>
      <c r="B217" s="7" t="s">
        <v>9</v>
      </c>
      <c r="C217" s="8">
        <v>1883</v>
      </c>
      <c r="D217" s="9">
        <v>45395</v>
      </c>
      <c r="E217" s="13" t="str">
        <f>+HYPERLINK("http://trademark.i-assist.jp/data/china/image_1883th/75572035.pdf","75572035")</f>
        <v>75572035</v>
      </c>
      <c r="F217" s="7" t="s">
        <v>606</v>
      </c>
      <c r="G217" s="7" t="s">
        <v>607</v>
      </c>
      <c r="H217" s="7" t="s">
        <v>608</v>
      </c>
      <c r="I217" s="9">
        <v>45264</v>
      </c>
    </row>
    <row r="218" spans="1:9" x14ac:dyDescent="0.15">
      <c r="A218" s="6">
        <v>217</v>
      </c>
      <c r="B218" s="7" t="s">
        <v>9</v>
      </c>
      <c r="C218" s="8">
        <v>1883</v>
      </c>
      <c r="D218" s="9">
        <v>45395</v>
      </c>
      <c r="E218" s="13" t="str">
        <f>+HYPERLINK("http://trademark.i-assist.jp/data/china/image_1883th/75576153.pdf","75576153")</f>
        <v>75576153</v>
      </c>
      <c r="F218" s="7" t="s">
        <v>609</v>
      </c>
      <c r="G218" s="7" t="s">
        <v>610</v>
      </c>
      <c r="H218" s="7" t="s">
        <v>611</v>
      </c>
      <c r="I218" s="9">
        <v>45264</v>
      </c>
    </row>
    <row r="219" spans="1:9" x14ac:dyDescent="0.15">
      <c r="A219" s="6">
        <v>218</v>
      </c>
      <c r="B219" s="7" t="s">
        <v>9</v>
      </c>
      <c r="C219" s="8">
        <v>1883</v>
      </c>
      <c r="D219" s="9">
        <v>45395</v>
      </c>
      <c r="E219" s="13" t="str">
        <f>+HYPERLINK("http://trademark.i-assist.jp/data/china/image_1883th/75592587.pdf","75592587")</f>
        <v>75592587</v>
      </c>
      <c r="F219" s="7" t="s">
        <v>612</v>
      </c>
      <c r="G219" s="7" t="s">
        <v>613</v>
      </c>
      <c r="H219" s="7" t="s">
        <v>614</v>
      </c>
      <c r="I219" s="9">
        <v>45265</v>
      </c>
    </row>
    <row r="220" spans="1:9" x14ac:dyDescent="0.15">
      <c r="A220" s="6">
        <v>219</v>
      </c>
      <c r="B220" s="7" t="s">
        <v>9</v>
      </c>
      <c r="C220" s="8">
        <v>1883</v>
      </c>
      <c r="D220" s="9">
        <v>45395</v>
      </c>
      <c r="E220" s="13" t="str">
        <f>+HYPERLINK("http://trademark.i-assist.jp/data/china/image_1883th/75598920.pdf","75598920")</f>
        <v>75598920</v>
      </c>
      <c r="F220" s="7" t="s">
        <v>615</v>
      </c>
      <c r="G220" s="7" t="s">
        <v>616</v>
      </c>
      <c r="H220" s="7" t="s">
        <v>617</v>
      </c>
      <c r="I220" s="9">
        <v>45265</v>
      </c>
    </row>
    <row r="221" spans="1:9" ht="27" x14ac:dyDescent="0.15">
      <c r="A221" s="6">
        <v>220</v>
      </c>
      <c r="B221" s="7" t="s">
        <v>9</v>
      </c>
      <c r="C221" s="8">
        <v>1883</v>
      </c>
      <c r="D221" s="9">
        <v>45395</v>
      </c>
      <c r="E221" s="13" t="str">
        <f>+HYPERLINK("http://trademark.i-assist.jp/data/china/image_1883th/75607118.pdf","75607118")</f>
        <v>75607118</v>
      </c>
      <c r="F221" s="7" t="s">
        <v>618</v>
      </c>
      <c r="G221" s="7" t="s">
        <v>518</v>
      </c>
      <c r="H221" s="7" t="s">
        <v>619</v>
      </c>
      <c r="I221" s="9">
        <v>45265</v>
      </c>
    </row>
    <row r="222" spans="1:9" x14ac:dyDescent="0.15">
      <c r="A222" s="6">
        <v>221</v>
      </c>
      <c r="B222" s="7" t="s">
        <v>9</v>
      </c>
      <c r="C222" s="8">
        <v>1883</v>
      </c>
      <c r="D222" s="9">
        <v>45395</v>
      </c>
      <c r="E222" s="13" t="str">
        <f>+HYPERLINK("http://trademark.i-assist.jp/data/china/image_1883th/75621167.pdf","75621167")</f>
        <v>75621167</v>
      </c>
      <c r="F222" s="7" t="s">
        <v>620</v>
      </c>
      <c r="G222" s="7" t="s">
        <v>621</v>
      </c>
      <c r="H222" s="7" t="s">
        <v>622</v>
      </c>
      <c r="I222" s="9">
        <v>45266</v>
      </c>
    </row>
    <row r="223" spans="1:9" x14ac:dyDescent="0.15">
      <c r="A223" s="6">
        <v>222</v>
      </c>
      <c r="B223" s="7" t="s">
        <v>9</v>
      </c>
      <c r="C223" s="8">
        <v>1883</v>
      </c>
      <c r="D223" s="9">
        <v>45395</v>
      </c>
      <c r="E223" s="13" t="str">
        <f>+HYPERLINK("http://trademark.i-assist.jp/data/china/image_1883th/75623647.pdf","75623647")</f>
        <v>75623647</v>
      </c>
      <c r="F223" s="7" t="s">
        <v>623</v>
      </c>
      <c r="G223" s="7" t="s">
        <v>624</v>
      </c>
      <c r="H223" s="7" t="s">
        <v>625</v>
      </c>
      <c r="I223" s="9">
        <v>45266</v>
      </c>
    </row>
    <row r="224" spans="1:9" x14ac:dyDescent="0.15">
      <c r="A224" s="6">
        <v>223</v>
      </c>
      <c r="B224" s="7" t="s">
        <v>9</v>
      </c>
      <c r="C224" s="8">
        <v>1883</v>
      </c>
      <c r="D224" s="9">
        <v>45395</v>
      </c>
      <c r="E224" s="13" t="str">
        <f>+HYPERLINK("http://trademark.i-assist.jp/data/china/image_1883th/75624903.pdf","75624903")</f>
        <v>75624903</v>
      </c>
      <c r="F224" s="7" t="s">
        <v>626</v>
      </c>
      <c r="G224" s="7" t="s">
        <v>627</v>
      </c>
      <c r="H224" s="7" t="s">
        <v>628</v>
      </c>
      <c r="I224" s="9">
        <v>45266</v>
      </c>
    </row>
    <row r="225" spans="1:9" x14ac:dyDescent="0.15">
      <c r="A225" s="6">
        <v>224</v>
      </c>
      <c r="B225" s="7" t="s">
        <v>9</v>
      </c>
      <c r="C225" s="8">
        <v>1883</v>
      </c>
      <c r="D225" s="9">
        <v>45395</v>
      </c>
      <c r="E225" s="13" t="str">
        <f>+HYPERLINK("http://trademark.i-assist.jp/data/china/image_1883th/75629747.pdf","75629747")</f>
        <v>75629747</v>
      </c>
      <c r="F225" s="7" t="s">
        <v>629</v>
      </c>
      <c r="G225" s="7" t="s">
        <v>630</v>
      </c>
      <c r="H225" s="7" t="s">
        <v>631</v>
      </c>
      <c r="I225" s="9">
        <v>45266</v>
      </c>
    </row>
    <row r="226" spans="1:9" x14ac:dyDescent="0.15">
      <c r="A226" s="6">
        <v>225</v>
      </c>
      <c r="B226" s="7" t="s">
        <v>9</v>
      </c>
      <c r="C226" s="8">
        <v>1883</v>
      </c>
      <c r="D226" s="9">
        <v>45395</v>
      </c>
      <c r="E226" s="13" t="str">
        <f>+HYPERLINK("http://trademark.i-assist.jp/data/china/image_1883th/75632100.pdf","75632100")</f>
        <v>75632100</v>
      </c>
      <c r="F226" s="7" t="s">
        <v>632</v>
      </c>
      <c r="G226" s="7" t="s">
        <v>633</v>
      </c>
      <c r="H226" s="7" t="s">
        <v>634</v>
      </c>
      <c r="I226" s="9">
        <v>45266</v>
      </c>
    </row>
    <row r="227" spans="1:9" x14ac:dyDescent="0.15">
      <c r="A227" s="6">
        <v>226</v>
      </c>
      <c r="B227" s="7" t="s">
        <v>9</v>
      </c>
      <c r="C227" s="8">
        <v>1883</v>
      </c>
      <c r="D227" s="9">
        <v>45395</v>
      </c>
      <c r="E227" s="13" t="str">
        <f>+HYPERLINK("http://trademark.i-assist.jp/data/china/image_1883th/75635410.pdf","75635410")</f>
        <v>75635410</v>
      </c>
      <c r="F227" s="7" t="s">
        <v>57</v>
      </c>
      <c r="G227" s="7" t="s">
        <v>635</v>
      </c>
      <c r="H227" s="7" t="s">
        <v>636</v>
      </c>
      <c r="I227" s="9">
        <v>45266</v>
      </c>
    </row>
    <row r="228" spans="1:9" ht="27" x14ac:dyDescent="0.15">
      <c r="A228" s="6">
        <v>227</v>
      </c>
      <c r="B228" s="7" t="s">
        <v>9</v>
      </c>
      <c r="C228" s="8">
        <v>1883</v>
      </c>
      <c r="D228" s="9">
        <v>45395</v>
      </c>
      <c r="E228" s="13" t="str">
        <f>+HYPERLINK("http://trademark.i-assist.jp/data/china/image_1883th/75640368.pdf","75640368")</f>
        <v>75640368</v>
      </c>
      <c r="F228" s="7" t="s">
        <v>637</v>
      </c>
      <c r="G228" s="7" t="s">
        <v>638</v>
      </c>
      <c r="H228" s="7" t="s">
        <v>639</v>
      </c>
      <c r="I228" s="9">
        <v>45267</v>
      </c>
    </row>
    <row r="229" spans="1:9" x14ac:dyDescent="0.15">
      <c r="A229" s="6">
        <v>228</v>
      </c>
      <c r="B229" s="7" t="s">
        <v>9</v>
      </c>
      <c r="C229" s="8">
        <v>1883</v>
      </c>
      <c r="D229" s="9">
        <v>45395</v>
      </c>
      <c r="E229" s="13" t="str">
        <f>+HYPERLINK("http://trademark.i-assist.jp/data/china/image_1883th/75641317.pdf","75641317")</f>
        <v>75641317</v>
      </c>
      <c r="F229" s="7" t="s">
        <v>640</v>
      </c>
      <c r="G229" s="7" t="s">
        <v>641</v>
      </c>
      <c r="H229" s="7" t="s">
        <v>642</v>
      </c>
      <c r="I229" s="9">
        <v>45267</v>
      </c>
    </row>
    <row r="230" spans="1:9" x14ac:dyDescent="0.15">
      <c r="A230" s="6">
        <v>229</v>
      </c>
      <c r="B230" s="7" t="s">
        <v>9</v>
      </c>
      <c r="C230" s="8">
        <v>1883</v>
      </c>
      <c r="D230" s="9">
        <v>45395</v>
      </c>
      <c r="E230" s="13" t="str">
        <f>+HYPERLINK("http://trademark.i-assist.jp/data/china/image_1883th/75650769.pdf","75650769")</f>
        <v>75650769</v>
      </c>
      <c r="F230" s="7" t="s">
        <v>643</v>
      </c>
      <c r="G230" s="7" t="s">
        <v>644</v>
      </c>
      <c r="H230" s="7" t="s">
        <v>645</v>
      </c>
      <c r="I230" s="9">
        <v>45267</v>
      </c>
    </row>
    <row r="231" spans="1:9" x14ac:dyDescent="0.15">
      <c r="A231" s="6">
        <v>230</v>
      </c>
      <c r="B231" s="7" t="s">
        <v>9</v>
      </c>
      <c r="C231" s="8">
        <v>1883</v>
      </c>
      <c r="D231" s="9">
        <v>45395</v>
      </c>
      <c r="E231" s="13" t="str">
        <f>+HYPERLINK("http://trademark.i-assist.jp/data/china/image_1883th/75653282.pdf","75653282")</f>
        <v>75653282</v>
      </c>
      <c r="F231" s="7" t="s">
        <v>646</v>
      </c>
      <c r="G231" s="7" t="s">
        <v>647</v>
      </c>
      <c r="H231" s="7" t="s">
        <v>648</v>
      </c>
      <c r="I231" s="9">
        <v>45267</v>
      </c>
    </row>
    <row r="232" spans="1:9" ht="27" x14ac:dyDescent="0.15">
      <c r="A232" s="6">
        <v>231</v>
      </c>
      <c r="B232" s="7" t="s">
        <v>9</v>
      </c>
      <c r="C232" s="8">
        <v>1883</v>
      </c>
      <c r="D232" s="9">
        <v>45395</v>
      </c>
      <c r="E232" s="13" t="str">
        <f>+HYPERLINK("http://trademark.i-assist.jp/data/china/image_1883th/75660314.pdf","75660314")</f>
        <v>75660314</v>
      </c>
      <c r="F232" s="7" t="s">
        <v>649</v>
      </c>
      <c r="G232" s="7" t="s">
        <v>638</v>
      </c>
      <c r="H232" s="7" t="s">
        <v>650</v>
      </c>
      <c r="I232" s="9">
        <v>45267</v>
      </c>
    </row>
    <row r="233" spans="1:9" x14ac:dyDescent="0.15">
      <c r="A233" s="6">
        <v>232</v>
      </c>
      <c r="B233" s="7" t="s">
        <v>9</v>
      </c>
      <c r="C233" s="8">
        <v>1883</v>
      </c>
      <c r="D233" s="9">
        <v>45395</v>
      </c>
      <c r="E233" s="13" t="str">
        <f>+HYPERLINK("http://trademark.i-assist.jp/data/china/image_1883th/75664802.pdf","75664802")</f>
        <v>75664802</v>
      </c>
      <c r="F233" s="7" t="s">
        <v>651</v>
      </c>
      <c r="G233" s="7" t="s">
        <v>652</v>
      </c>
      <c r="H233" s="7" t="s">
        <v>653</v>
      </c>
      <c r="I233" s="9">
        <v>45268</v>
      </c>
    </row>
    <row r="234" spans="1:9" x14ac:dyDescent="0.15">
      <c r="A234" s="6">
        <v>233</v>
      </c>
      <c r="B234" s="7" t="s">
        <v>9</v>
      </c>
      <c r="C234" s="8">
        <v>1883</v>
      </c>
      <c r="D234" s="9">
        <v>45395</v>
      </c>
      <c r="E234" s="13" t="str">
        <f>+HYPERLINK("http://trademark.i-assist.jp/data/china/image_1883th/75666265.pdf","75666265")</f>
        <v>75666265</v>
      </c>
      <c r="F234" s="7" t="s">
        <v>654</v>
      </c>
      <c r="G234" s="7" t="s">
        <v>652</v>
      </c>
      <c r="H234" s="7" t="s">
        <v>653</v>
      </c>
      <c r="I234" s="9">
        <v>45268</v>
      </c>
    </row>
    <row r="235" spans="1:9" x14ac:dyDescent="0.15">
      <c r="A235" s="6">
        <v>234</v>
      </c>
      <c r="B235" s="7" t="s">
        <v>9</v>
      </c>
      <c r="C235" s="8">
        <v>1883</v>
      </c>
      <c r="D235" s="9">
        <v>45395</v>
      </c>
      <c r="E235" s="13" t="str">
        <f>+HYPERLINK("http://trademark.i-assist.jp/data/china/image_1883th/75666278.pdf","75666278")</f>
        <v>75666278</v>
      </c>
      <c r="F235" s="7" t="s">
        <v>655</v>
      </c>
      <c r="G235" s="7" t="s">
        <v>652</v>
      </c>
      <c r="H235" s="7" t="s">
        <v>653</v>
      </c>
      <c r="I235" s="9">
        <v>45268</v>
      </c>
    </row>
    <row r="236" spans="1:9" x14ac:dyDescent="0.15">
      <c r="A236" s="6">
        <v>235</v>
      </c>
      <c r="B236" s="7" t="s">
        <v>9</v>
      </c>
      <c r="C236" s="8">
        <v>1883</v>
      </c>
      <c r="D236" s="9">
        <v>45395</v>
      </c>
      <c r="E236" s="13" t="str">
        <f>+HYPERLINK("http://trademark.i-assist.jp/data/china/image_1883th/75666320.pdf","75666320")</f>
        <v>75666320</v>
      </c>
      <c r="F236" s="7" t="s">
        <v>656</v>
      </c>
      <c r="G236" s="7" t="s">
        <v>652</v>
      </c>
      <c r="H236" s="7" t="s">
        <v>653</v>
      </c>
      <c r="I236" s="9">
        <v>45268</v>
      </c>
    </row>
    <row r="237" spans="1:9" x14ac:dyDescent="0.15">
      <c r="A237" s="6">
        <v>236</v>
      </c>
      <c r="B237" s="7" t="s">
        <v>9</v>
      </c>
      <c r="C237" s="8">
        <v>1883</v>
      </c>
      <c r="D237" s="9">
        <v>45395</v>
      </c>
      <c r="E237" s="13" t="str">
        <f>+HYPERLINK("http://trademark.i-assist.jp/data/china/image_1883th/75667517.pdf","75667517")</f>
        <v>75667517</v>
      </c>
      <c r="F237" s="7" t="s">
        <v>657</v>
      </c>
      <c r="G237" s="7" t="s">
        <v>652</v>
      </c>
      <c r="H237" s="7" t="s">
        <v>653</v>
      </c>
      <c r="I237" s="9">
        <v>45268</v>
      </c>
    </row>
    <row r="238" spans="1:9" ht="27" x14ac:dyDescent="0.15">
      <c r="A238" s="6">
        <v>237</v>
      </c>
      <c r="B238" s="7" t="s">
        <v>9</v>
      </c>
      <c r="C238" s="8">
        <v>1883</v>
      </c>
      <c r="D238" s="9">
        <v>45395</v>
      </c>
      <c r="E238" s="13" t="str">
        <f>+HYPERLINK("http://trademark.i-assist.jp/data/china/image_1883th/75670351.pdf","75670351")</f>
        <v>75670351</v>
      </c>
      <c r="F238" s="7" t="s">
        <v>658</v>
      </c>
      <c r="G238" s="7" t="s">
        <v>659</v>
      </c>
      <c r="H238" s="7" t="s">
        <v>660</v>
      </c>
      <c r="I238" s="9">
        <v>45268</v>
      </c>
    </row>
    <row r="239" spans="1:9" x14ac:dyDescent="0.15">
      <c r="A239" s="6">
        <v>238</v>
      </c>
      <c r="B239" s="7" t="s">
        <v>9</v>
      </c>
      <c r="C239" s="8">
        <v>1883</v>
      </c>
      <c r="D239" s="9">
        <v>45395</v>
      </c>
      <c r="E239" s="13" t="str">
        <f>+HYPERLINK("http://trademark.i-assist.jp/data/china/image_1883th/75671024.pdf","75671024")</f>
        <v>75671024</v>
      </c>
      <c r="F239" s="7" t="s">
        <v>661</v>
      </c>
      <c r="G239" s="7" t="s">
        <v>652</v>
      </c>
      <c r="H239" s="7" t="s">
        <v>653</v>
      </c>
      <c r="I239" s="9">
        <v>45268</v>
      </c>
    </row>
    <row r="240" spans="1:9" x14ac:dyDescent="0.15">
      <c r="A240" s="6">
        <v>239</v>
      </c>
      <c r="B240" s="7" t="s">
        <v>9</v>
      </c>
      <c r="C240" s="8">
        <v>1883</v>
      </c>
      <c r="D240" s="9">
        <v>45395</v>
      </c>
      <c r="E240" s="13" t="str">
        <f>+HYPERLINK("http://trademark.i-assist.jp/data/china/image_1883th/75671619.pdf","75671619")</f>
        <v>75671619</v>
      </c>
      <c r="F240" s="7" t="s">
        <v>662</v>
      </c>
      <c r="G240" s="7" t="s">
        <v>652</v>
      </c>
      <c r="H240" s="7" t="s">
        <v>653</v>
      </c>
      <c r="I240" s="9">
        <v>45268</v>
      </c>
    </row>
    <row r="241" spans="1:9" x14ac:dyDescent="0.15">
      <c r="A241" s="6">
        <v>240</v>
      </c>
      <c r="B241" s="7" t="s">
        <v>9</v>
      </c>
      <c r="C241" s="8">
        <v>1883</v>
      </c>
      <c r="D241" s="9">
        <v>45395</v>
      </c>
      <c r="E241" s="13" t="str">
        <f>+HYPERLINK("http://trademark.i-assist.jp/data/china/image_1883th/75672385.pdf","75672385")</f>
        <v>75672385</v>
      </c>
      <c r="F241" s="7" t="s">
        <v>663</v>
      </c>
      <c r="G241" s="7" t="s">
        <v>664</v>
      </c>
      <c r="H241" s="7" t="s">
        <v>665</v>
      </c>
      <c r="I241" s="9">
        <v>45268</v>
      </c>
    </row>
    <row r="242" spans="1:9" x14ac:dyDescent="0.15">
      <c r="A242" s="6">
        <v>241</v>
      </c>
      <c r="B242" s="7" t="s">
        <v>9</v>
      </c>
      <c r="C242" s="8">
        <v>1883</v>
      </c>
      <c r="D242" s="9">
        <v>45395</v>
      </c>
      <c r="E242" s="13" t="str">
        <f>+HYPERLINK("http://trademark.i-assist.jp/data/china/image_1883th/75675618.pdf","75675618")</f>
        <v>75675618</v>
      </c>
      <c r="F242" s="7" t="s">
        <v>666</v>
      </c>
      <c r="G242" s="7" t="s">
        <v>652</v>
      </c>
      <c r="H242" s="7" t="s">
        <v>653</v>
      </c>
      <c r="I242" s="9">
        <v>45268</v>
      </c>
    </row>
    <row r="243" spans="1:9" x14ac:dyDescent="0.15">
      <c r="A243" s="6">
        <v>242</v>
      </c>
      <c r="B243" s="7" t="s">
        <v>9</v>
      </c>
      <c r="C243" s="8">
        <v>1883</v>
      </c>
      <c r="D243" s="9">
        <v>45395</v>
      </c>
      <c r="E243" s="13" t="str">
        <f>+HYPERLINK("http://trademark.i-assist.jp/data/china/image_1883th/75676388.pdf","75676388")</f>
        <v>75676388</v>
      </c>
      <c r="F243" s="7" t="s">
        <v>667</v>
      </c>
      <c r="G243" s="7" t="s">
        <v>652</v>
      </c>
      <c r="H243" s="7" t="s">
        <v>653</v>
      </c>
      <c r="I243" s="9">
        <v>45268</v>
      </c>
    </row>
    <row r="244" spans="1:9" x14ac:dyDescent="0.15">
      <c r="A244" s="6">
        <v>243</v>
      </c>
      <c r="B244" s="7" t="s">
        <v>9</v>
      </c>
      <c r="C244" s="8">
        <v>1883</v>
      </c>
      <c r="D244" s="9">
        <v>45395</v>
      </c>
      <c r="E244" s="13" t="str">
        <f>+HYPERLINK("http://trademark.i-assist.jp/data/china/image_1883th/75679079.pdf","75679079")</f>
        <v>75679079</v>
      </c>
      <c r="F244" s="7" t="s">
        <v>668</v>
      </c>
      <c r="G244" s="7" t="s">
        <v>669</v>
      </c>
      <c r="H244" s="7" t="s">
        <v>670</v>
      </c>
      <c r="I244" s="9">
        <v>45268</v>
      </c>
    </row>
    <row r="245" spans="1:9" ht="27" x14ac:dyDescent="0.15">
      <c r="A245" s="6">
        <v>244</v>
      </c>
      <c r="B245" s="7" t="s">
        <v>9</v>
      </c>
      <c r="C245" s="8">
        <v>1883</v>
      </c>
      <c r="D245" s="9">
        <v>45395</v>
      </c>
      <c r="E245" s="13" t="str">
        <f>+HYPERLINK("http://trademark.i-assist.jp/data/china/image_1883th/75686596.pdf","75686596")</f>
        <v>75686596</v>
      </c>
      <c r="F245" s="7" t="s">
        <v>671</v>
      </c>
      <c r="G245" s="7" t="s">
        <v>672</v>
      </c>
      <c r="H245" s="7" t="s">
        <v>673</v>
      </c>
      <c r="I245" s="9">
        <v>45268</v>
      </c>
    </row>
    <row r="246" spans="1:9" ht="27" x14ac:dyDescent="0.15">
      <c r="A246" s="6">
        <v>245</v>
      </c>
      <c r="B246" s="7" t="s">
        <v>9</v>
      </c>
      <c r="C246" s="8">
        <v>1883</v>
      </c>
      <c r="D246" s="9">
        <v>45395</v>
      </c>
      <c r="E246" s="13" t="str">
        <f>+HYPERLINK("http://trademark.i-assist.jp/data/china/image_1883th/75687830.pdf","75687830")</f>
        <v>75687830</v>
      </c>
      <c r="F246" s="7" t="s">
        <v>674</v>
      </c>
      <c r="G246" s="7" t="s">
        <v>675</v>
      </c>
      <c r="H246" s="7" t="s">
        <v>676</v>
      </c>
      <c r="I246" s="9">
        <v>45268</v>
      </c>
    </row>
    <row r="247" spans="1:9" x14ac:dyDescent="0.15">
      <c r="A247" s="6">
        <v>246</v>
      </c>
      <c r="B247" s="7" t="s">
        <v>9</v>
      </c>
      <c r="C247" s="8">
        <v>1883</v>
      </c>
      <c r="D247" s="9">
        <v>45395</v>
      </c>
      <c r="E247" s="13" t="str">
        <f>+HYPERLINK("http://trademark.i-assist.jp/data/china/image_1883th/75688537.pdf","75688537")</f>
        <v>75688537</v>
      </c>
      <c r="F247" s="7" t="s">
        <v>677</v>
      </c>
      <c r="G247" s="7" t="s">
        <v>652</v>
      </c>
      <c r="H247" s="7" t="s">
        <v>653</v>
      </c>
      <c r="I247" s="9">
        <v>45268</v>
      </c>
    </row>
    <row r="248" spans="1:9" x14ac:dyDescent="0.15">
      <c r="A248" s="6">
        <v>247</v>
      </c>
      <c r="B248" s="7" t="s">
        <v>9</v>
      </c>
      <c r="C248" s="8">
        <v>1883</v>
      </c>
      <c r="D248" s="9">
        <v>45395</v>
      </c>
      <c r="E248" s="13" t="str">
        <f>+HYPERLINK("http://trademark.i-assist.jp/data/china/image_1883th/75689676.pdf","75689676")</f>
        <v>75689676</v>
      </c>
      <c r="F248" s="7" t="s">
        <v>678</v>
      </c>
      <c r="G248" s="7" t="s">
        <v>652</v>
      </c>
      <c r="H248" s="7" t="s">
        <v>653</v>
      </c>
      <c r="I248" s="9">
        <v>45268</v>
      </c>
    </row>
    <row r="249" spans="1:9" x14ac:dyDescent="0.15">
      <c r="A249" s="6">
        <v>248</v>
      </c>
      <c r="B249" s="7" t="s">
        <v>9</v>
      </c>
      <c r="C249" s="8">
        <v>1883</v>
      </c>
      <c r="D249" s="9">
        <v>45395</v>
      </c>
      <c r="E249" s="13" t="str">
        <f>+HYPERLINK("http://trademark.i-assist.jp/data/china/image_1883th/75692719.pdf","75692719")</f>
        <v>75692719</v>
      </c>
      <c r="F249" s="7" t="s">
        <v>57</v>
      </c>
      <c r="G249" s="7" t="s">
        <v>679</v>
      </c>
      <c r="H249" s="7" t="s">
        <v>680</v>
      </c>
      <c r="I249" s="9">
        <v>45269</v>
      </c>
    </row>
    <row r="250" spans="1:9" x14ac:dyDescent="0.15">
      <c r="A250" s="6">
        <v>249</v>
      </c>
      <c r="B250" s="7" t="s">
        <v>9</v>
      </c>
      <c r="C250" s="8">
        <v>1883</v>
      </c>
      <c r="D250" s="9">
        <v>45395</v>
      </c>
      <c r="E250" s="13" t="str">
        <f>+HYPERLINK("http://trademark.i-assist.jp/data/china/image_1883th/75697886.pdf","75697886")</f>
        <v>75697886</v>
      </c>
      <c r="F250" s="7" t="s">
        <v>681</v>
      </c>
      <c r="G250" s="7" t="s">
        <v>682</v>
      </c>
      <c r="H250" s="7" t="s">
        <v>683</v>
      </c>
      <c r="I250" s="9">
        <v>45269</v>
      </c>
    </row>
    <row r="251" spans="1:9" x14ac:dyDescent="0.15">
      <c r="A251" s="6">
        <v>250</v>
      </c>
      <c r="B251" s="7" t="s">
        <v>9</v>
      </c>
      <c r="C251" s="8">
        <v>1883</v>
      </c>
      <c r="D251" s="9">
        <v>45395</v>
      </c>
      <c r="E251" s="13" t="str">
        <f>+HYPERLINK("http://trademark.i-assist.jp/data/china/image_1883th/75701068.pdf","75701068")</f>
        <v>75701068</v>
      </c>
      <c r="F251" s="7" t="s">
        <v>684</v>
      </c>
      <c r="G251" s="7" t="s">
        <v>685</v>
      </c>
      <c r="H251" s="7" t="s">
        <v>686</v>
      </c>
      <c r="I251" s="9">
        <v>45271</v>
      </c>
    </row>
    <row r="252" spans="1:9" x14ac:dyDescent="0.15">
      <c r="A252" s="6">
        <v>251</v>
      </c>
      <c r="B252" s="7" t="s">
        <v>9</v>
      </c>
      <c r="C252" s="8">
        <v>1883</v>
      </c>
      <c r="D252" s="9">
        <v>45395</v>
      </c>
      <c r="E252" s="13" t="str">
        <f>+HYPERLINK("http://trademark.i-assist.jp/data/china/image_1883th/75701672.pdf","75701672")</f>
        <v>75701672</v>
      </c>
      <c r="F252" s="7" t="s">
        <v>687</v>
      </c>
      <c r="G252" s="7" t="s">
        <v>688</v>
      </c>
      <c r="H252" s="7" t="s">
        <v>689</v>
      </c>
      <c r="I252" s="9">
        <v>45271</v>
      </c>
    </row>
    <row r="253" spans="1:9" ht="27" x14ac:dyDescent="0.15">
      <c r="A253" s="6">
        <v>252</v>
      </c>
      <c r="B253" s="7" t="s">
        <v>9</v>
      </c>
      <c r="C253" s="8">
        <v>1883</v>
      </c>
      <c r="D253" s="9">
        <v>45395</v>
      </c>
      <c r="E253" s="13" t="str">
        <f>+HYPERLINK("http://trademark.i-assist.jp/data/china/image_1883th/75704342.pdf","75704342")</f>
        <v>75704342</v>
      </c>
      <c r="F253" s="7" t="s">
        <v>57</v>
      </c>
      <c r="G253" s="7" t="s">
        <v>675</v>
      </c>
      <c r="H253" s="7" t="s">
        <v>690</v>
      </c>
      <c r="I253" s="9">
        <v>45271</v>
      </c>
    </row>
    <row r="254" spans="1:9" x14ac:dyDescent="0.15">
      <c r="A254" s="6">
        <v>253</v>
      </c>
      <c r="B254" s="7" t="s">
        <v>9</v>
      </c>
      <c r="C254" s="8">
        <v>1883</v>
      </c>
      <c r="D254" s="9">
        <v>45395</v>
      </c>
      <c r="E254" s="13" t="str">
        <f>+HYPERLINK("http://trademark.i-assist.jp/data/china/image_1883th/75706727.pdf","75706727")</f>
        <v>75706727</v>
      </c>
      <c r="F254" s="7" t="s">
        <v>691</v>
      </c>
      <c r="G254" s="7" t="s">
        <v>692</v>
      </c>
      <c r="H254" s="7" t="s">
        <v>693</v>
      </c>
      <c r="I254" s="9">
        <v>45271</v>
      </c>
    </row>
    <row r="255" spans="1:9" ht="27" x14ac:dyDescent="0.15">
      <c r="A255" s="6">
        <v>254</v>
      </c>
      <c r="B255" s="7" t="s">
        <v>9</v>
      </c>
      <c r="C255" s="8">
        <v>1883</v>
      </c>
      <c r="D255" s="9">
        <v>45395</v>
      </c>
      <c r="E255" s="13" t="str">
        <f>+HYPERLINK("http://trademark.i-assist.jp/data/china/image_1883th/75708896.pdf","75708896")</f>
        <v>75708896</v>
      </c>
      <c r="F255" s="7" t="s">
        <v>674</v>
      </c>
      <c r="G255" s="7" t="s">
        <v>675</v>
      </c>
      <c r="H255" s="7" t="s">
        <v>694</v>
      </c>
      <c r="I255" s="9">
        <v>45271</v>
      </c>
    </row>
    <row r="256" spans="1:9" x14ac:dyDescent="0.15">
      <c r="A256" s="6">
        <v>255</v>
      </c>
      <c r="B256" s="7" t="s">
        <v>9</v>
      </c>
      <c r="C256" s="8">
        <v>1883</v>
      </c>
      <c r="D256" s="9">
        <v>45395</v>
      </c>
      <c r="E256" s="13" t="str">
        <f>+HYPERLINK("http://trademark.i-assist.jp/data/china/image_1883th/75709528.pdf","75709528")</f>
        <v>75709528</v>
      </c>
      <c r="F256" s="7" t="s">
        <v>695</v>
      </c>
      <c r="G256" s="7" t="s">
        <v>696</v>
      </c>
      <c r="H256" s="7" t="s">
        <v>697</v>
      </c>
      <c r="I256" s="9">
        <v>45271</v>
      </c>
    </row>
    <row r="257" spans="1:9" x14ac:dyDescent="0.15">
      <c r="A257" s="6">
        <v>256</v>
      </c>
      <c r="B257" s="7" t="s">
        <v>9</v>
      </c>
      <c r="C257" s="8">
        <v>1883</v>
      </c>
      <c r="D257" s="9">
        <v>45395</v>
      </c>
      <c r="E257" s="13" t="str">
        <f>+HYPERLINK("http://trademark.i-assist.jp/data/china/image_1883th/75709548.pdf","75709548")</f>
        <v>75709548</v>
      </c>
      <c r="F257" s="7" t="s">
        <v>698</v>
      </c>
      <c r="G257" s="7" t="s">
        <v>696</v>
      </c>
      <c r="H257" s="7" t="s">
        <v>699</v>
      </c>
      <c r="I257" s="9">
        <v>45271</v>
      </c>
    </row>
    <row r="258" spans="1:9" x14ac:dyDescent="0.15">
      <c r="A258" s="6">
        <v>257</v>
      </c>
      <c r="B258" s="7" t="s">
        <v>9</v>
      </c>
      <c r="C258" s="8">
        <v>1883</v>
      </c>
      <c r="D258" s="9">
        <v>45395</v>
      </c>
      <c r="E258" s="13" t="str">
        <f>+HYPERLINK("http://trademark.i-assist.jp/data/china/image_1883th/75709559.pdf","75709559")</f>
        <v>75709559</v>
      </c>
      <c r="F258" s="7" t="s">
        <v>700</v>
      </c>
      <c r="G258" s="7" t="s">
        <v>696</v>
      </c>
      <c r="H258" s="7" t="s">
        <v>701</v>
      </c>
      <c r="I258" s="9">
        <v>45271</v>
      </c>
    </row>
    <row r="259" spans="1:9" ht="27" x14ac:dyDescent="0.15">
      <c r="A259" s="6">
        <v>258</v>
      </c>
      <c r="B259" s="7" t="s">
        <v>9</v>
      </c>
      <c r="C259" s="8">
        <v>1883</v>
      </c>
      <c r="D259" s="9">
        <v>45395</v>
      </c>
      <c r="E259" s="13" t="str">
        <f>+HYPERLINK("http://trademark.i-assist.jp/data/china/image_1883th/75723629.pdf","75723629")</f>
        <v>75723629</v>
      </c>
      <c r="F259" s="7" t="s">
        <v>702</v>
      </c>
      <c r="G259" s="7" t="s">
        <v>703</v>
      </c>
      <c r="H259" s="7" t="s">
        <v>704</v>
      </c>
      <c r="I259" s="9">
        <v>45271</v>
      </c>
    </row>
    <row r="260" spans="1:9" ht="27" x14ac:dyDescent="0.15">
      <c r="A260" s="6">
        <v>259</v>
      </c>
      <c r="B260" s="7" t="s">
        <v>9</v>
      </c>
      <c r="C260" s="8">
        <v>1883</v>
      </c>
      <c r="D260" s="9">
        <v>45395</v>
      </c>
      <c r="E260" s="13" t="str">
        <f>+HYPERLINK("http://trademark.i-assist.jp/data/china/image_1883th/75723641.pdf","75723641")</f>
        <v>75723641</v>
      </c>
      <c r="F260" s="7" t="s">
        <v>705</v>
      </c>
      <c r="G260" s="7" t="s">
        <v>518</v>
      </c>
      <c r="H260" s="7" t="s">
        <v>706</v>
      </c>
      <c r="I260" s="9">
        <v>45271</v>
      </c>
    </row>
    <row r="261" spans="1:9" x14ac:dyDescent="0.15">
      <c r="A261" s="6">
        <v>260</v>
      </c>
      <c r="B261" s="7" t="s">
        <v>9</v>
      </c>
      <c r="C261" s="8">
        <v>1883</v>
      </c>
      <c r="D261" s="9">
        <v>45395</v>
      </c>
      <c r="E261" s="13" t="str">
        <f>+HYPERLINK("http://trademark.i-assist.jp/data/china/image_1883th/75724099.pdf","75724099")</f>
        <v>75724099</v>
      </c>
      <c r="F261" s="7" t="s">
        <v>707</v>
      </c>
      <c r="G261" s="7" t="s">
        <v>696</v>
      </c>
      <c r="H261" s="7" t="s">
        <v>708</v>
      </c>
      <c r="I261" s="9">
        <v>45271</v>
      </c>
    </row>
    <row r="262" spans="1:9" x14ac:dyDescent="0.15">
      <c r="A262" s="6">
        <v>261</v>
      </c>
      <c r="B262" s="7" t="s">
        <v>9</v>
      </c>
      <c r="C262" s="8">
        <v>1883</v>
      </c>
      <c r="D262" s="9">
        <v>45395</v>
      </c>
      <c r="E262" s="13" t="str">
        <f>+HYPERLINK("http://trademark.i-assist.jp/data/china/image_1883th/75726268.pdf","75726268")</f>
        <v>75726268</v>
      </c>
      <c r="F262" s="7" t="s">
        <v>709</v>
      </c>
      <c r="G262" s="7" t="s">
        <v>710</v>
      </c>
      <c r="H262" s="7" t="s">
        <v>711</v>
      </c>
      <c r="I262" s="9">
        <v>45271</v>
      </c>
    </row>
    <row r="263" spans="1:9" x14ac:dyDescent="0.15">
      <c r="A263" s="6">
        <v>262</v>
      </c>
      <c r="B263" s="7" t="s">
        <v>9</v>
      </c>
      <c r="C263" s="8">
        <v>1883</v>
      </c>
      <c r="D263" s="9">
        <v>45395</v>
      </c>
      <c r="E263" s="13" t="str">
        <f>+HYPERLINK("http://trademark.i-assist.jp/data/china/image_1883th/75727534.pdf","75727534")</f>
        <v>75727534</v>
      </c>
      <c r="F263" s="7" t="s">
        <v>712</v>
      </c>
      <c r="G263" s="7" t="s">
        <v>713</v>
      </c>
      <c r="H263" s="7" t="s">
        <v>714</v>
      </c>
      <c r="I263" s="9">
        <v>45271</v>
      </c>
    </row>
    <row r="264" spans="1:9" x14ac:dyDescent="0.15">
      <c r="A264" s="6">
        <v>263</v>
      </c>
      <c r="B264" s="7" t="s">
        <v>9</v>
      </c>
      <c r="C264" s="8">
        <v>1883</v>
      </c>
      <c r="D264" s="9">
        <v>45395</v>
      </c>
      <c r="E264" s="13" t="str">
        <f>+HYPERLINK("http://trademark.i-assist.jp/data/china/image_1883th/75731914.pdf","75731914")</f>
        <v>75731914</v>
      </c>
      <c r="F264" s="7" t="s">
        <v>715</v>
      </c>
      <c r="G264" s="7" t="s">
        <v>716</v>
      </c>
      <c r="H264" s="7" t="s">
        <v>717</v>
      </c>
      <c r="I264" s="9">
        <v>45272</v>
      </c>
    </row>
    <row r="265" spans="1:9" x14ac:dyDescent="0.15">
      <c r="A265" s="6">
        <v>264</v>
      </c>
      <c r="B265" s="7" t="s">
        <v>9</v>
      </c>
      <c r="C265" s="8">
        <v>1883</v>
      </c>
      <c r="D265" s="9">
        <v>45395</v>
      </c>
      <c r="E265" s="13" t="str">
        <f>+HYPERLINK("http://trademark.i-assist.jp/data/china/image_1883th/75742836.pdf","75742836")</f>
        <v>75742836</v>
      </c>
      <c r="F265" s="7" t="s">
        <v>718</v>
      </c>
      <c r="G265" s="7" t="s">
        <v>716</v>
      </c>
      <c r="H265" s="7" t="s">
        <v>719</v>
      </c>
      <c r="I265" s="9">
        <v>45272</v>
      </c>
    </row>
    <row r="266" spans="1:9" x14ac:dyDescent="0.15">
      <c r="A266" s="6">
        <v>265</v>
      </c>
      <c r="B266" s="7" t="s">
        <v>9</v>
      </c>
      <c r="C266" s="8">
        <v>1883</v>
      </c>
      <c r="D266" s="9">
        <v>45395</v>
      </c>
      <c r="E266" s="13" t="str">
        <f>+HYPERLINK("http://trademark.i-assist.jp/data/china/image_1883th/75744044.pdf","75744044")</f>
        <v>75744044</v>
      </c>
      <c r="F266" s="7" t="s">
        <v>720</v>
      </c>
      <c r="G266" s="7" t="s">
        <v>607</v>
      </c>
      <c r="H266" s="7" t="s">
        <v>721</v>
      </c>
      <c r="I266" s="9">
        <v>45272</v>
      </c>
    </row>
    <row r="267" spans="1:9" x14ac:dyDescent="0.15">
      <c r="A267" s="6">
        <v>266</v>
      </c>
      <c r="B267" s="7" t="s">
        <v>9</v>
      </c>
      <c r="C267" s="8">
        <v>1883</v>
      </c>
      <c r="D267" s="9">
        <v>45395</v>
      </c>
      <c r="E267" s="13" t="str">
        <f>+HYPERLINK("http://trademark.i-assist.jp/data/china/image_1883th/75744695.pdf","75744695")</f>
        <v>75744695</v>
      </c>
      <c r="F267" s="7" t="s">
        <v>715</v>
      </c>
      <c r="G267" s="7" t="s">
        <v>716</v>
      </c>
      <c r="H267" s="7" t="s">
        <v>722</v>
      </c>
      <c r="I267" s="9">
        <v>45272</v>
      </c>
    </row>
    <row r="268" spans="1:9" x14ac:dyDescent="0.15">
      <c r="A268" s="6">
        <v>267</v>
      </c>
      <c r="B268" s="7" t="s">
        <v>9</v>
      </c>
      <c r="C268" s="8">
        <v>1883</v>
      </c>
      <c r="D268" s="9">
        <v>45395</v>
      </c>
      <c r="E268" s="13" t="str">
        <f>+HYPERLINK("http://trademark.i-assist.jp/data/china/image_1883th/75749555.pdf","75749555")</f>
        <v>75749555</v>
      </c>
      <c r="F268" s="7" t="s">
        <v>723</v>
      </c>
      <c r="G268" s="7" t="s">
        <v>724</v>
      </c>
      <c r="H268" s="7" t="s">
        <v>725</v>
      </c>
      <c r="I268" s="9">
        <v>45272</v>
      </c>
    </row>
    <row r="269" spans="1:9" x14ac:dyDescent="0.15">
      <c r="A269" s="6">
        <v>268</v>
      </c>
      <c r="B269" s="7" t="s">
        <v>9</v>
      </c>
      <c r="C269" s="8">
        <v>1883</v>
      </c>
      <c r="D269" s="9">
        <v>45395</v>
      </c>
      <c r="E269" s="13" t="str">
        <f>+HYPERLINK("http://trademark.i-assist.jp/data/china/image_1883th/75752702.pdf","75752702")</f>
        <v>75752702</v>
      </c>
      <c r="F269" s="7" t="s">
        <v>726</v>
      </c>
      <c r="G269" s="7" t="s">
        <v>727</v>
      </c>
      <c r="H269" s="7" t="s">
        <v>728</v>
      </c>
      <c r="I269" s="9">
        <v>45272</v>
      </c>
    </row>
    <row r="270" spans="1:9" x14ac:dyDescent="0.15">
      <c r="A270" s="6">
        <v>269</v>
      </c>
      <c r="B270" s="7" t="s">
        <v>9</v>
      </c>
      <c r="C270" s="8">
        <v>1883</v>
      </c>
      <c r="D270" s="9">
        <v>45395</v>
      </c>
      <c r="E270" s="13" t="str">
        <f>+HYPERLINK("http://trademark.i-assist.jp/data/china/image_1883th/75753887.pdf","75753887")</f>
        <v>75753887</v>
      </c>
      <c r="F270" s="7" t="s">
        <v>729</v>
      </c>
      <c r="G270" s="7" t="s">
        <v>730</v>
      </c>
      <c r="H270" s="7" t="s">
        <v>731</v>
      </c>
      <c r="I270" s="9">
        <v>45272</v>
      </c>
    </row>
    <row r="271" spans="1:9" x14ac:dyDescent="0.15">
      <c r="A271" s="6">
        <v>270</v>
      </c>
      <c r="B271" s="7" t="s">
        <v>9</v>
      </c>
      <c r="C271" s="8">
        <v>1883</v>
      </c>
      <c r="D271" s="9">
        <v>45395</v>
      </c>
      <c r="E271" s="13" t="str">
        <f>+HYPERLINK("http://trademark.i-assist.jp/data/china/image_1883th/75756433.pdf","75756433")</f>
        <v>75756433</v>
      </c>
      <c r="F271" s="7" t="s">
        <v>732</v>
      </c>
      <c r="G271" s="7" t="s">
        <v>733</v>
      </c>
      <c r="H271" s="7" t="s">
        <v>734</v>
      </c>
      <c r="I271" s="9">
        <v>45273</v>
      </c>
    </row>
    <row r="272" spans="1:9" x14ac:dyDescent="0.15">
      <c r="A272" s="6">
        <v>271</v>
      </c>
      <c r="B272" s="7" t="s">
        <v>9</v>
      </c>
      <c r="C272" s="8">
        <v>1883</v>
      </c>
      <c r="D272" s="9">
        <v>45395</v>
      </c>
      <c r="E272" s="13" t="str">
        <f>+HYPERLINK("http://trademark.i-assist.jp/data/china/image_1883th/75758411.pdf","75758411")</f>
        <v>75758411</v>
      </c>
      <c r="F272" s="7" t="s">
        <v>735</v>
      </c>
      <c r="G272" s="7" t="s">
        <v>736</v>
      </c>
      <c r="H272" s="7" t="s">
        <v>737</v>
      </c>
      <c r="I272" s="9">
        <v>45273</v>
      </c>
    </row>
    <row r="273" spans="1:9" ht="27" x14ac:dyDescent="0.15">
      <c r="A273" s="6">
        <v>272</v>
      </c>
      <c r="B273" s="7" t="s">
        <v>9</v>
      </c>
      <c r="C273" s="8">
        <v>1883</v>
      </c>
      <c r="D273" s="9">
        <v>45395</v>
      </c>
      <c r="E273" s="13" t="str">
        <f>+HYPERLINK("http://trademark.i-assist.jp/data/china/image_1883th/75762245.pdf","75762245")</f>
        <v>75762245</v>
      </c>
      <c r="F273" s="7" t="s">
        <v>738</v>
      </c>
      <c r="G273" s="7" t="s">
        <v>739</v>
      </c>
      <c r="H273" s="7" t="s">
        <v>740</v>
      </c>
      <c r="I273" s="9">
        <v>45273</v>
      </c>
    </row>
    <row r="274" spans="1:9" ht="27" x14ac:dyDescent="0.15">
      <c r="A274" s="6">
        <v>273</v>
      </c>
      <c r="B274" s="7" t="s">
        <v>9</v>
      </c>
      <c r="C274" s="8">
        <v>1883</v>
      </c>
      <c r="D274" s="9">
        <v>45395</v>
      </c>
      <c r="E274" s="13" t="str">
        <f>+HYPERLINK("http://trademark.i-assist.jp/data/china/image_1883th/75769179.pdf","75769179")</f>
        <v>75769179</v>
      </c>
      <c r="F274" s="7" t="s">
        <v>741</v>
      </c>
      <c r="G274" s="7" t="s">
        <v>742</v>
      </c>
      <c r="H274" s="7" t="s">
        <v>743</v>
      </c>
      <c r="I274" s="9">
        <v>45273</v>
      </c>
    </row>
    <row r="275" spans="1:9" x14ac:dyDescent="0.15">
      <c r="A275" s="6">
        <v>274</v>
      </c>
      <c r="B275" s="7" t="s">
        <v>9</v>
      </c>
      <c r="C275" s="8">
        <v>1883</v>
      </c>
      <c r="D275" s="9">
        <v>45395</v>
      </c>
      <c r="E275" s="13" t="str">
        <f>+HYPERLINK("http://trademark.i-assist.jp/data/china/image_1883th/75781520.pdf","75781520")</f>
        <v>75781520</v>
      </c>
      <c r="F275" s="7" t="s">
        <v>744</v>
      </c>
      <c r="G275" s="7" t="s">
        <v>745</v>
      </c>
      <c r="H275" s="7" t="s">
        <v>746</v>
      </c>
      <c r="I275" s="9">
        <v>45273</v>
      </c>
    </row>
    <row r="276" spans="1:9" x14ac:dyDescent="0.15">
      <c r="A276" s="6">
        <v>275</v>
      </c>
      <c r="B276" s="7" t="s">
        <v>9</v>
      </c>
      <c r="C276" s="8">
        <v>1883</v>
      </c>
      <c r="D276" s="9">
        <v>45395</v>
      </c>
      <c r="E276" s="13" t="str">
        <f>+HYPERLINK("http://trademark.i-assist.jp/data/china/image_1883th/75786195.pdf","75786195")</f>
        <v>75786195</v>
      </c>
      <c r="F276" s="7" t="s">
        <v>747</v>
      </c>
      <c r="G276" s="7" t="s">
        <v>598</v>
      </c>
      <c r="H276" s="7" t="s">
        <v>748</v>
      </c>
      <c r="I276" s="9">
        <v>45274</v>
      </c>
    </row>
    <row r="277" spans="1:9" x14ac:dyDescent="0.15">
      <c r="A277" s="6">
        <v>276</v>
      </c>
      <c r="B277" s="7" t="s">
        <v>9</v>
      </c>
      <c r="C277" s="8">
        <v>1883</v>
      </c>
      <c r="D277" s="9">
        <v>45395</v>
      </c>
      <c r="E277" s="13" t="str">
        <f>+HYPERLINK("http://trademark.i-assist.jp/data/china/image_1883th/75789802.pdf","75789802")</f>
        <v>75789802</v>
      </c>
      <c r="F277" s="7" t="s">
        <v>749</v>
      </c>
      <c r="G277" s="7" t="s">
        <v>750</v>
      </c>
      <c r="H277" s="7" t="s">
        <v>751</v>
      </c>
      <c r="I277" s="9">
        <v>45274</v>
      </c>
    </row>
    <row r="278" spans="1:9" x14ac:dyDescent="0.15">
      <c r="A278" s="6">
        <v>277</v>
      </c>
      <c r="B278" s="7" t="s">
        <v>9</v>
      </c>
      <c r="C278" s="8">
        <v>1883</v>
      </c>
      <c r="D278" s="9">
        <v>45395</v>
      </c>
      <c r="E278" s="13" t="str">
        <f>+HYPERLINK("http://trademark.i-assist.jp/data/china/image_1883th/75793071.pdf","75793071")</f>
        <v>75793071</v>
      </c>
      <c r="F278" s="7" t="s">
        <v>752</v>
      </c>
      <c r="G278" s="7" t="s">
        <v>598</v>
      </c>
      <c r="H278" s="7" t="s">
        <v>753</v>
      </c>
      <c r="I278" s="9">
        <v>45274</v>
      </c>
    </row>
    <row r="279" spans="1:9" x14ac:dyDescent="0.15">
      <c r="A279" s="6">
        <v>278</v>
      </c>
      <c r="B279" s="7" t="s">
        <v>9</v>
      </c>
      <c r="C279" s="8">
        <v>1883</v>
      </c>
      <c r="D279" s="9">
        <v>45395</v>
      </c>
      <c r="E279" s="13" t="str">
        <f>+HYPERLINK("http://trademark.i-assist.jp/data/china/image_1883th/75799666.pdf","75799666")</f>
        <v>75799666</v>
      </c>
      <c r="F279" s="7" t="s">
        <v>754</v>
      </c>
      <c r="G279" s="7" t="s">
        <v>755</v>
      </c>
      <c r="H279" s="7" t="s">
        <v>756</v>
      </c>
      <c r="I279" s="9">
        <v>45274</v>
      </c>
    </row>
    <row r="280" spans="1:9" x14ac:dyDescent="0.15">
      <c r="A280" s="6">
        <v>279</v>
      </c>
      <c r="B280" s="7" t="s">
        <v>9</v>
      </c>
      <c r="C280" s="8">
        <v>1883</v>
      </c>
      <c r="D280" s="9">
        <v>45395</v>
      </c>
      <c r="E280" s="13" t="str">
        <f>+HYPERLINK("http://trademark.i-assist.jp/data/china/image_1883th/75811203.pdf","75811203")</f>
        <v>75811203</v>
      </c>
      <c r="F280" s="7" t="s">
        <v>757</v>
      </c>
      <c r="G280" s="7" t="s">
        <v>758</v>
      </c>
      <c r="H280" s="7" t="s">
        <v>759</v>
      </c>
      <c r="I280" s="9">
        <v>45275</v>
      </c>
    </row>
    <row r="281" spans="1:9" ht="27" x14ac:dyDescent="0.15">
      <c r="A281" s="6">
        <v>280</v>
      </c>
      <c r="B281" s="7" t="s">
        <v>9</v>
      </c>
      <c r="C281" s="8">
        <v>1883</v>
      </c>
      <c r="D281" s="9">
        <v>45395</v>
      </c>
      <c r="E281" s="13" t="str">
        <f>+HYPERLINK("http://trademark.i-assist.jp/data/china/image_1883th/75811530.pdf","75811530")</f>
        <v>75811530</v>
      </c>
      <c r="F281" s="7" t="s">
        <v>760</v>
      </c>
      <c r="G281" s="7" t="s">
        <v>761</v>
      </c>
      <c r="H281" s="7" t="s">
        <v>762</v>
      </c>
      <c r="I281" s="9">
        <v>45275</v>
      </c>
    </row>
    <row r="282" spans="1:9" ht="27" x14ac:dyDescent="0.15">
      <c r="A282" s="6">
        <v>281</v>
      </c>
      <c r="B282" s="7" t="s">
        <v>9</v>
      </c>
      <c r="C282" s="8">
        <v>1883</v>
      </c>
      <c r="D282" s="9">
        <v>45395</v>
      </c>
      <c r="E282" s="13" t="str">
        <f>+HYPERLINK("http://trademark.i-assist.jp/data/china/image_1883th/75813902.pdf","75813902")</f>
        <v>75813902</v>
      </c>
      <c r="F282" s="7" t="s">
        <v>763</v>
      </c>
      <c r="G282" s="7" t="s">
        <v>764</v>
      </c>
      <c r="H282" s="7" t="s">
        <v>765</v>
      </c>
      <c r="I282" s="9">
        <v>45275</v>
      </c>
    </row>
    <row r="283" spans="1:9" x14ac:dyDescent="0.15">
      <c r="A283" s="6">
        <v>282</v>
      </c>
      <c r="B283" s="7" t="s">
        <v>9</v>
      </c>
      <c r="C283" s="8">
        <v>1883</v>
      </c>
      <c r="D283" s="9">
        <v>45395</v>
      </c>
      <c r="E283" s="13" t="str">
        <f>+HYPERLINK("http://trademark.i-assist.jp/data/china/image_1883th/75814837.pdf","75814837")</f>
        <v>75814837</v>
      </c>
      <c r="F283" s="7" t="s">
        <v>766</v>
      </c>
      <c r="G283" s="7" t="s">
        <v>767</v>
      </c>
      <c r="H283" s="7" t="s">
        <v>768</v>
      </c>
      <c r="I283" s="9">
        <v>45275</v>
      </c>
    </row>
    <row r="284" spans="1:9" x14ac:dyDescent="0.15">
      <c r="A284" s="6">
        <v>283</v>
      </c>
      <c r="B284" s="7" t="s">
        <v>9</v>
      </c>
      <c r="C284" s="8">
        <v>1883</v>
      </c>
      <c r="D284" s="9">
        <v>45395</v>
      </c>
      <c r="E284" s="13" t="str">
        <f>+HYPERLINK("http://trademark.i-assist.jp/data/china/image_1883th/75814848.pdf","75814848")</f>
        <v>75814848</v>
      </c>
      <c r="F284" s="7" t="s">
        <v>769</v>
      </c>
      <c r="G284" s="7" t="s">
        <v>433</v>
      </c>
      <c r="H284" s="7" t="s">
        <v>770</v>
      </c>
      <c r="I284" s="9">
        <v>45275</v>
      </c>
    </row>
    <row r="285" spans="1:9" x14ac:dyDescent="0.15">
      <c r="A285" s="6">
        <v>284</v>
      </c>
      <c r="B285" s="7" t="s">
        <v>9</v>
      </c>
      <c r="C285" s="8">
        <v>1883</v>
      </c>
      <c r="D285" s="9">
        <v>45395</v>
      </c>
      <c r="E285" s="13" t="str">
        <f>+HYPERLINK("http://trademark.i-assist.jp/data/china/image_1883th/75815961.pdf","75815961")</f>
        <v>75815961</v>
      </c>
      <c r="F285" s="7" t="s">
        <v>771</v>
      </c>
      <c r="G285" s="7" t="s">
        <v>772</v>
      </c>
      <c r="H285" s="7" t="s">
        <v>773</v>
      </c>
      <c r="I285" s="9">
        <v>45275</v>
      </c>
    </row>
    <row r="286" spans="1:9" x14ac:dyDescent="0.15">
      <c r="A286" s="6">
        <v>285</v>
      </c>
      <c r="B286" s="7" t="s">
        <v>9</v>
      </c>
      <c r="C286" s="8">
        <v>1883</v>
      </c>
      <c r="D286" s="9">
        <v>45395</v>
      </c>
      <c r="E286" s="13" t="str">
        <f>+HYPERLINK("http://trademark.i-assist.jp/data/china/image_1883th/75817958.pdf","75817958")</f>
        <v>75817958</v>
      </c>
      <c r="F286" s="7" t="s">
        <v>774</v>
      </c>
      <c r="G286" s="7" t="s">
        <v>775</v>
      </c>
      <c r="H286" s="7" t="s">
        <v>776</v>
      </c>
      <c r="I286" s="9">
        <v>45275</v>
      </c>
    </row>
    <row r="287" spans="1:9" ht="27" x14ac:dyDescent="0.15">
      <c r="A287" s="6">
        <v>286</v>
      </c>
      <c r="B287" s="7" t="s">
        <v>9</v>
      </c>
      <c r="C287" s="8">
        <v>1883</v>
      </c>
      <c r="D287" s="9">
        <v>45395</v>
      </c>
      <c r="E287" s="13" t="str">
        <f>+HYPERLINK("http://trademark.i-assist.jp/data/china/image_1883th/75819320.pdf","75819320")</f>
        <v>75819320</v>
      </c>
      <c r="F287" s="7" t="s">
        <v>777</v>
      </c>
      <c r="G287" s="7" t="s">
        <v>761</v>
      </c>
      <c r="H287" s="7" t="s">
        <v>778</v>
      </c>
      <c r="I287" s="9">
        <v>45275</v>
      </c>
    </row>
    <row r="288" spans="1:9" x14ac:dyDescent="0.15">
      <c r="A288" s="6">
        <v>287</v>
      </c>
      <c r="B288" s="7" t="s">
        <v>9</v>
      </c>
      <c r="C288" s="8">
        <v>1883</v>
      </c>
      <c r="D288" s="9">
        <v>45395</v>
      </c>
      <c r="E288" s="13" t="str">
        <f>+HYPERLINK("http://trademark.i-assist.jp/data/china/image_1883th/75820216.pdf","75820216")</f>
        <v>75820216</v>
      </c>
      <c r="F288" s="7" t="s">
        <v>779</v>
      </c>
      <c r="G288" s="7" t="s">
        <v>780</v>
      </c>
      <c r="H288" s="7" t="s">
        <v>781</v>
      </c>
      <c r="I288" s="9">
        <v>45275</v>
      </c>
    </row>
    <row r="289" spans="1:9" x14ac:dyDescent="0.15">
      <c r="A289" s="6">
        <v>288</v>
      </c>
      <c r="B289" s="7" t="s">
        <v>9</v>
      </c>
      <c r="C289" s="8">
        <v>1883</v>
      </c>
      <c r="D289" s="9">
        <v>45395</v>
      </c>
      <c r="E289" s="13" t="str">
        <f>+HYPERLINK("http://trademark.i-assist.jp/data/china/image_1883th/75820267.pdf","75820267")</f>
        <v>75820267</v>
      </c>
      <c r="F289" s="7" t="s">
        <v>57</v>
      </c>
      <c r="G289" s="7" t="s">
        <v>782</v>
      </c>
      <c r="H289" s="7" t="s">
        <v>783</v>
      </c>
      <c r="I289" s="9">
        <v>45275</v>
      </c>
    </row>
    <row r="290" spans="1:9" x14ac:dyDescent="0.15">
      <c r="A290" s="6">
        <v>289</v>
      </c>
      <c r="B290" s="7" t="s">
        <v>9</v>
      </c>
      <c r="C290" s="8">
        <v>1883</v>
      </c>
      <c r="D290" s="9">
        <v>45395</v>
      </c>
      <c r="E290" s="13" t="str">
        <f>+HYPERLINK("http://trademark.i-assist.jp/data/china/image_1883th/75820292.pdf","75820292")</f>
        <v>75820292</v>
      </c>
      <c r="F290" s="7" t="s">
        <v>784</v>
      </c>
      <c r="G290" s="7" t="s">
        <v>785</v>
      </c>
      <c r="H290" s="7" t="s">
        <v>786</v>
      </c>
      <c r="I290" s="9">
        <v>45275</v>
      </c>
    </row>
    <row r="291" spans="1:9" x14ac:dyDescent="0.15">
      <c r="A291" s="6">
        <v>290</v>
      </c>
      <c r="B291" s="7" t="s">
        <v>9</v>
      </c>
      <c r="C291" s="8">
        <v>1883</v>
      </c>
      <c r="D291" s="9">
        <v>45395</v>
      </c>
      <c r="E291" s="13" t="str">
        <f>+HYPERLINK("http://trademark.i-assist.jp/data/china/image_1883th/75822538.pdf","75822538")</f>
        <v>75822538</v>
      </c>
      <c r="F291" s="7" t="s">
        <v>787</v>
      </c>
      <c r="G291" s="7" t="s">
        <v>433</v>
      </c>
      <c r="H291" s="7" t="s">
        <v>788</v>
      </c>
      <c r="I291" s="9">
        <v>45275</v>
      </c>
    </row>
    <row r="292" spans="1:9" x14ac:dyDescent="0.15">
      <c r="A292" s="6">
        <v>291</v>
      </c>
      <c r="B292" s="7" t="s">
        <v>9</v>
      </c>
      <c r="C292" s="8">
        <v>1883</v>
      </c>
      <c r="D292" s="9">
        <v>45395</v>
      </c>
      <c r="E292" s="13" t="str">
        <f>+HYPERLINK("http://trademark.i-assist.jp/data/china/image_1883th/75826017.pdf","75826017")</f>
        <v>75826017</v>
      </c>
      <c r="F292" s="7" t="s">
        <v>789</v>
      </c>
      <c r="G292" s="7" t="s">
        <v>433</v>
      </c>
      <c r="H292" s="7" t="s">
        <v>790</v>
      </c>
      <c r="I292" s="9">
        <v>45275</v>
      </c>
    </row>
    <row r="293" spans="1:9" x14ac:dyDescent="0.15">
      <c r="A293" s="6">
        <v>292</v>
      </c>
      <c r="B293" s="7" t="s">
        <v>9</v>
      </c>
      <c r="C293" s="8">
        <v>1883</v>
      </c>
      <c r="D293" s="9">
        <v>45395</v>
      </c>
      <c r="E293" s="13" t="str">
        <f>+HYPERLINK("http://trademark.i-assist.jp/data/china/image_1883th/75827052.pdf","75827052")</f>
        <v>75827052</v>
      </c>
      <c r="F293" s="7" t="s">
        <v>791</v>
      </c>
      <c r="G293" s="7" t="s">
        <v>792</v>
      </c>
      <c r="H293" s="7" t="s">
        <v>793</v>
      </c>
      <c r="I293" s="9">
        <v>45275</v>
      </c>
    </row>
    <row r="294" spans="1:9" ht="27" x14ac:dyDescent="0.15">
      <c r="A294" s="6">
        <v>293</v>
      </c>
      <c r="B294" s="7" t="s">
        <v>9</v>
      </c>
      <c r="C294" s="8">
        <v>1883</v>
      </c>
      <c r="D294" s="9">
        <v>45395</v>
      </c>
      <c r="E294" s="13" t="str">
        <f>+HYPERLINK("http://trademark.i-assist.jp/data/china/image_1883th/75829571.pdf","75829571")</f>
        <v>75829571</v>
      </c>
      <c r="F294" s="7" t="s">
        <v>794</v>
      </c>
      <c r="G294" s="7" t="s">
        <v>761</v>
      </c>
      <c r="H294" s="7" t="s">
        <v>795</v>
      </c>
      <c r="I294" s="9">
        <v>45275</v>
      </c>
    </row>
    <row r="295" spans="1:9" ht="27" x14ac:dyDescent="0.15">
      <c r="A295" s="6">
        <v>294</v>
      </c>
      <c r="B295" s="7" t="s">
        <v>9</v>
      </c>
      <c r="C295" s="8">
        <v>1883</v>
      </c>
      <c r="D295" s="9">
        <v>45395</v>
      </c>
      <c r="E295" s="13" t="str">
        <f>+HYPERLINK("http://trademark.i-assist.jp/data/china/image_1883th/75831083.pdf","75831083")</f>
        <v>75831083</v>
      </c>
      <c r="F295" s="7" t="s">
        <v>796</v>
      </c>
      <c r="G295" s="7" t="s">
        <v>761</v>
      </c>
      <c r="H295" s="7" t="s">
        <v>797</v>
      </c>
      <c r="I295" s="9">
        <v>45275</v>
      </c>
    </row>
    <row r="296" spans="1:9" x14ac:dyDescent="0.15">
      <c r="A296" s="6">
        <v>295</v>
      </c>
      <c r="B296" s="7" t="s">
        <v>9</v>
      </c>
      <c r="C296" s="8">
        <v>1883</v>
      </c>
      <c r="D296" s="9">
        <v>45395</v>
      </c>
      <c r="E296" s="13" t="str">
        <f>+HYPERLINK("http://trademark.i-assist.jp/data/china/image_1883th/75831382.pdf","75831382")</f>
        <v>75831382</v>
      </c>
      <c r="F296" s="7" t="s">
        <v>798</v>
      </c>
      <c r="G296" s="7" t="s">
        <v>799</v>
      </c>
      <c r="H296" s="7" t="s">
        <v>800</v>
      </c>
      <c r="I296" s="9">
        <v>45275</v>
      </c>
    </row>
    <row r="297" spans="1:9" ht="27" x14ac:dyDescent="0.15">
      <c r="A297" s="6">
        <v>296</v>
      </c>
      <c r="B297" s="7" t="s">
        <v>9</v>
      </c>
      <c r="C297" s="8">
        <v>1883</v>
      </c>
      <c r="D297" s="9">
        <v>45395</v>
      </c>
      <c r="E297" s="13" t="str">
        <f>+HYPERLINK("http://trademark.i-assist.jp/data/china/image_1883th/75831494.pdf","75831494")</f>
        <v>75831494</v>
      </c>
      <c r="F297" s="7" t="s">
        <v>801</v>
      </c>
      <c r="G297" s="7" t="s">
        <v>802</v>
      </c>
      <c r="H297" s="7" t="s">
        <v>803</v>
      </c>
      <c r="I297" s="9">
        <v>45275</v>
      </c>
    </row>
    <row r="298" spans="1:9" x14ac:dyDescent="0.15">
      <c r="A298" s="6">
        <v>297</v>
      </c>
      <c r="B298" s="7" t="s">
        <v>9</v>
      </c>
      <c r="C298" s="8">
        <v>1883</v>
      </c>
      <c r="D298" s="9">
        <v>45395</v>
      </c>
      <c r="E298" s="13" t="str">
        <f>+HYPERLINK("http://trademark.i-assist.jp/data/china/image_1883th/75840277.pdf","75840277")</f>
        <v>75840277</v>
      </c>
      <c r="F298" s="7" t="s">
        <v>804</v>
      </c>
      <c r="G298" s="7" t="s">
        <v>805</v>
      </c>
      <c r="H298" s="7" t="s">
        <v>806</v>
      </c>
      <c r="I298" s="9">
        <v>45276</v>
      </c>
    </row>
    <row r="299" spans="1:9" x14ac:dyDescent="0.15">
      <c r="A299" s="6">
        <v>298</v>
      </c>
      <c r="B299" s="7" t="s">
        <v>9</v>
      </c>
      <c r="C299" s="8">
        <v>1883</v>
      </c>
      <c r="D299" s="9">
        <v>45395</v>
      </c>
      <c r="E299" s="13" t="str">
        <f>+HYPERLINK("http://trademark.i-assist.jp/data/china/image_1883th/75842787.pdf","75842787")</f>
        <v>75842787</v>
      </c>
      <c r="F299" s="7" t="s">
        <v>807</v>
      </c>
      <c r="G299" s="7" t="s">
        <v>808</v>
      </c>
      <c r="H299" s="7" t="s">
        <v>809</v>
      </c>
      <c r="I299" s="9">
        <v>45277</v>
      </c>
    </row>
    <row r="300" spans="1:9" x14ac:dyDescent="0.15">
      <c r="A300" s="6">
        <v>299</v>
      </c>
      <c r="B300" s="7" t="s">
        <v>9</v>
      </c>
      <c r="C300" s="8">
        <v>1883</v>
      </c>
      <c r="D300" s="9">
        <v>45395</v>
      </c>
      <c r="E300" s="13" t="str">
        <f>+HYPERLINK("http://trademark.i-assist.jp/data/china/image_1883th/75843520.pdf","75843520")</f>
        <v>75843520</v>
      </c>
      <c r="F300" s="7" t="s">
        <v>57</v>
      </c>
      <c r="G300" s="7" t="s">
        <v>810</v>
      </c>
      <c r="H300" s="7" t="s">
        <v>811</v>
      </c>
      <c r="I300" s="9">
        <v>45277</v>
      </c>
    </row>
    <row r="301" spans="1:9" x14ac:dyDescent="0.15">
      <c r="A301" s="6">
        <v>300</v>
      </c>
      <c r="B301" s="7" t="s">
        <v>9</v>
      </c>
      <c r="C301" s="8">
        <v>1883</v>
      </c>
      <c r="D301" s="9">
        <v>45395</v>
      </c>
      <c r="E301" s="13" t="str">
        <f>+HYPERLINK("http://trademark.i-assist.jp/data/china/image_1883th/75843522.pdf","75843522")</f>
        <v>75843522</v>
      </c>
      <c r="F301" s="7" t="s">
        <v>57</v>
      </c>
      <c r="G301" s="7" t="s">
        <v>810</v>
      </c>
      <c r="H301" s="7" t="s">
        <v>812</v>
      </c>
      <c r="I301" s="9">
        <v>45277</v>
      </c>
    </row>
    <row r="302" spans="1:9" x14ac:dyDescent="0.15">
      <c r="A302" s="6">
        <v>301</v>
      </c>
      <c r="B302" s="7" t="s">
        <v>9</v>
      </c>
      <c r="C302" s="8">
        <v>1883</v>
      </c>
      <c r="D302" s="9">
        <v>45395</v>
      </c>
      <c r="E302" s="13" t="str">
        <f>+HYPERLINK("http://trademark.i-assist.jp/data/china/image_1883th/75844996.pdf","75844996")</f>
        <v>75844996</v>
      </c>
      <c r="F302" s="7" t="s">
        <v>813</v>
      </c>
      <c r="G302" s="7" t="s">
        <v>814</v>
      </c>
      <c r="H302" s="7" t="s">
        <v>815</v>
      </c>
      <c r="I302" s="9">
        <v>45278</v>
      </c>
    </row>
    <row r="303" spans="1:9" ht="27" x14ac:dyDescent="0.15">
      <c r="A303" s="6">
        <v>302</v>
      </c>
      <c r="B303" s="7" t="s">
        <v>9</v>
      </c>
      <c r="C303" s="8">
        <v>1883</v>
      </c>
      <c r="D303" s="9">
        <v>45395</v>
      </c>
      <c r="E303" s="13" t="str">
        <f>+HYPERLINK("http://trademark.i-assist.jp/data/china/image_1883th/75848902.pdf","75848902")</f>
        <v>75848902</v>
      </c>
      <c r="F303" s="7" t="s">
        <v>816</v>
      </c>
      <c r="G303" s="7" t="s">
        <v>817</v>
      </c>
      <c r="H303" s="7" t="s">
        <v>818</v>
      </c>
      <c r="I303" s="9">
        <v>45278</v>
      </c>
    </row>
    <row r="304" spans="1:9" x14ac:dyDescent="0.15">
      <c r="A304" s="6">
        <v>303</v>
      </c>
      <c r="B304" s="7" t="s">
        <v>9</v>
      </c>
      <c r="C304" s="8">
        <v>1883</v>
      </c>
      <c r="D304" s="9">
        <v>45395</v>
      </c>
      <c r="E304" s="13" t="str">
        <f>+HYPERLINK("http://trademark.i-assist.jp/data/china/image_1883th/75855089.pdf","75855089")</f>
        <v>75855089</v>
      </c>
      <c r="F304" s="7" t="s">
        <v>57</v>
      </c>
      <c r="G304" s="7" t="s">
        <v>819</v>
      </c>
      <c r="H304" s="7" t="s">
        <v>820</v>
      </c>
      <c r="I304" s="9">
        <v>45278</v>
      </c>
    </row>
    <row r="305" spans="1:9" ht="27" x14ac:dyDescent="0.15">
      <c r="A305" s="6">
        <v>304</v>
      </c>
      <c r="B305" s="7" t="s">
        <v>9</v>
      </c>
      <c r="C305" s="8">
        <v>1883</v>
      </c>
      <c r="D305" s="9">
        <v>45395</v>
      </c>
      <c r="E305" s="13" t="str">
        <f>+HYPERLINK("http://trademark.i-assist.jp/data/china/image_1883th/75860688.pdf","75860688")</f>
        <v>75860688</v>
      </c>
      <c r="F305" s="7" t="s">
        <v>57</v>
      </c>
      <c r="G305" s="7" t="s">
        <v>817</v>
      </c>
      <c r="H305" s="7" t="s">
        <v>821</v>
      </c>
      <c r="I305" s="9">
        <v>45278</v>
      </c>
    </row>
    <row r="306" spans="1:9" x14ac:dyDescent="0.15">
      <c r="A306" s="6">
        <v>305</v>
      </c>
      <c r="B306" s="7" t="s">
        <v>9</v>
      </c>
      <c r="C306" s="8">
        <v>1883</v>
      </c>
      <c r="D306" s="9">
        <v>45395</v>
      </c>
      <c r="E306" s="13" t="str">
        <f>+HYPERLINK("http://trademark.i-assist.jp/data/china/image_1883th/75862456.pdf","75862456")</f>
        <v>75862456</v>
      </c>
      <c r="F306" s="7" t="s">
        <v>822</v>
      </c>
      <c r="G306" s="7" t="s">
        <v>814</v>
      </c>
      <c r="H306" s="7" t="s">
        <v>823</v>
      </c>
      <c r="I306" s="9">
        <v>45278</v>
      </c>
    </row>
    <row r="307" spans="1:9" x14ac:dyDescent="0.15">
      <c r="A307" s="6">
        <v>306</v>
      </c>
      <c r="B307" s="7" t="s">
        <v>9</v>
      </c>
      <c r="C307" s="8">
        <v>1883</v>
      </c>
      <c r="D307" s="9">
        <v>45395</v>
      </c>
      <c r="E307" s="13" t="str">
        <f>+HYPERLINK("http://trademark.i-assist.jp/data/china/image_1883th/75870182.pdf","75870182")</f>
        <v>75870182</v>
      </c>
      <c r="F307" s="7" t="s">
        <v>824</v>
      </c>
      <c r="G307" s="7" t="s">
        <v>825</v>
      </c>
      <c r="H307" s="7" t="s">
        <v>826</v>
      </c>
      <c r="I307" s="9">
        <v>45278</v>
      </c>
    </row>
    <row r="308" spans="1:9" x14ac:dyDescent="0.15">
      <c r="A308" s="6">
        <v>307</v>
      </c>
      <c r="B308" s="7" t="s">
        <v>9</v>
      </c>
      <c r="C308" s="8">
        <v>1883</v>
      </c>
      <c r="D308" s="9">
        <v>45395</v>
      </c>
      <c r="E308" s="13" t="str">
        <f>+HYPERLINK("http://trademark.i-assist.jp/data/china/image_1883th/75873963.pdf","75873963")</f>
        <v>75873963</v>
      </c>
      <c r="F308" s="7" t="s">
        <v>827</v>
      </c>
      <c r="G308" s="7" t="s">
        <v>828</v>
      </c>
      <c r="H308" s="7" t="s">
        <v>829</v>
      </c>
      <c r="I308" s="9">
        <v>45279</v>
      </c>
    </row>
    <row r="309" spans="1:9" x14ac:dyDescent="0.15">
      <c r="A309" s="6">
        <v>308</v>
      </c>
      <c r="B309" s="7" t="s">
        <v>9</v>
      </c>
      <c r="C309" s="8">
        <v>1883</v>
      </c>
      <c r="D309" s="9">
        <v>45395</v>
      </c>
      <c r="E309" s="13" t="str">
        <f>+HYPERLINK("http://trademark.i-assist.jp/data/china/image_1883th/75875562.pdf","75875562")</f>
        <v>75875562</v>
      </c>
      <c r="F309" s="7" t="s">
        <v>830</v>
      </c>
      <c r="G309" s="7" t="s">
        <v>831</v>
      </c>
      <c r="H309" s="7" t="s">
        <v>832</v>
      </c>
      <c r="I309" s="9">
        <v>45279</v>
      </c>
    </row>
    <row r="310" spans="1:9" x14ac:dyDescent="0.15">
      <c r="A310" s="6">
        <v>309</v>
      </c>
      <c r="B310" s="7" t="s">
        <v>9</v>
      </c>
      <c r="C310" s="8">
        <v>1883</v>
      </c>
      <c r="D310" s="9">
        <v>45395</v>
      </c>
      <c r="E310" s="13" t="str">
        <f>+HYPERLINK("http://trademark.i-assist.jp/data/china/image_1883th/75875804.pdf","75875804")</f>
        <v>75875804</v>
      </c>
      <c r="F310" s="7" t="s">
        <v>833</v>
      </c>
      <c r="G310" s="7" t="s">
        <v>834</v>
      </c>
      <c r="H310" s="7" t="s">
        <v>835</v>
      </c>
      <c r="I310" s="9">
        <v>45279</v>
      </c>
    </row>
    <row r="311" spans="1:9" x14ac:dyDescent="0.15">
      <c r="A311" s="6">
        <v>310</v>
      </c>
      <c r="B311" s="7" t="s">
        <v>9</v>
      </c>
      <c r="C311" s="8">
        <v>1883</v>
      </c>
      <c r="D311" s="9">
        <v>45395</v>
      </c>
      <c r="E311" s="13" t="str">
        <f>+HYPERLINK("http://trademark.i-assist.jp/data/china/image_1883th/75884127.pdf","75884127")</f>
        <v>75884127</v>
      </c>
      <c r="F311" s="7" t="s">
        <v>836</v>
      </c>
      <c r="G311" s="7" t="s">
        <v>837</v>
      </c>
      <c r="H311" s="7" t="s">
        <v>838</v>
      </c>
      <c r="I311" s="9">
        <v>45279</v>
      </c>
    </row>
    <row r="312" spans="1:9" x14ac:dyDescent="0.15">
      <c r="A312" s="6">
        <v>311</v>
      </c>
      <c r="B312" s="7" t="s">
        <v>9</v>
      </c>
      <c r="C312" s="8">
        <v>1883</v>
      </c>
      <c r="D312" s="9">
        <v>45395</v>
      </c>
      <c r="E312" s="13" t="str">
        <f>+HYPERLINK("http://trademark.i-assist.jp/data/china/image_1883th/75888554.pdf","75888554")</f>
        <v>75888554</v>
      </c>
      <c r="F312" s="7" t="s">
        <v>839</v>
      </c>
      <c r="G312" s="7" t="s">
        <v>837</v>
      </c>
      <c r="H312" s="7" t="s">
        <v>840</v>
      </c>
      <c r="I312" s="9">
        <v>45279</v>
      </c>
    </row>
    <row r="313" spans="1:9" ht="27" x14ac:dyDescent="0.15">
      <c r="A313" s="6">
        <v>312</v>
      </c>
      <c r="B313" s="7" t="s">
        <v>9</v>
      </c>
      <c r="C313" s="8">
        <v>1883</v>
      </c>
      <c r="D313" s="9">
        <v>45395</v>
      </c>
      <c r="E313" s="13" t="str">
        <f>+HYPERLINK("http://trademark.i-assist.jp/data/china/image_1883th/75896920.pdf","75896920")</f>
        <v>75896920</v>
      </c>
      <c r="F313" s="7" t="s">
        <v>841</v>
      </c>
      <c r="G313" s="7" t="s">
        <v>518</v>
      </c>
      <c r="H313" s="7" t="s">
        <v>842</v>
      </c>
      <c r="I313" s="9">
        <v>45279</v>
      </c>
    </row>
    <row r="314" spans="1:9" x14ac:dyDescent="0.15">
      <c r="A314" s="6">
        <v>313</v>
      </c>
      <c r="B314" s="7" t="s">
        <v>9</v>
      </c>
      <c r="C314" s="8">
        <v>1883</v>
      </c>
      <c r="D314" s="9">
        <v>45395</v>
      </c>
      <c r="E314" s="13" t="str">
        <f>+HYPERLINK("http://trademark.i-assist.jp/data/china/image_1883th/75898016.pdf","75898016")</f>
        <v>75898016</v>
      </c>
      <c r="F314" s="7" t="s">
        <v>843</v>
      </c>
      <c r="G314" s="7" t="s">
        <v>844</v>
      </c>
      <c r="H314" s="7" t="s">
        <v>845</v>
      </c>
      <c r="I314" s="9">
        <v>45279</v>
      </c>
    </row>
    <row r="315" spans="1:9" x14ac:dyDescent="0.15">
      <c r="A315" s="6">
        <v>314</v>
      </c>
      <c r="B315" s="7" t="s">
        <v>9</v>
      </c>
      <c r="C315" s="8">
        <v>1883</v>
      </c>
      <c r="D315" s="9">
        <v>45395</v>
      </c>
      <c r="E315" s="13" t="str">
        <f>+HYPERLINK("http://trademark.i-assist.jp/data/china/image_1883th/75902706.pdf","75902706")</f>
        <v>75902706</v>
      </c>
      <c r="F315" s="7" t="s">
        <v>846</v>
      </c>
      <c r="G315" s="7" t="s">
        <v>847</v>
      </c>
      <c r="H315" s="7" t="s">
        <v>848</v>
      </c>
      <c r="I315" s="9">
        <v>45280</v>
      </c>
    </row>
    <row r="316" spans="1:9" x14ac:dyDescent="0.15">
      <c r="A316" s="6">
        <v>315</v>
      </c>
      <c r="B316" s="7" t="s">
        <v>9</v>
      </c>
      <c r="C316" s="8">
        <v>1883</v>
      </c>
      <c r="D316" s="9">
        <v>45395</v>
      </c>
      <c r="E316" s="13" t="str">
        <f>+HYPERLINK("http://trademark.i-assist.jp/data/china/image_1883th/75906495.pdf","75906495")</f>
        <v>75906495</v>
      </c>
      <c r="F316" s="7" t="s">
        <v>846</v>
      </c>
      <c r="G316" s="7" t="s">
        <v>847</v>
      </c>
      <c r="H316" s="7" t="s">
        <v>849</v>
      </c>
      <c r="I316" s="9">
        <v>45280</v>
      </c>
    </row>
    <row r="317" spans="1:9" x14ac:dyDescent="0.15">
      <c r="A317" s="6">
        <v>316</v>
      </c>
      <c r="B317" s="7" t="s">
        <v>9</v>
      </c>
      <c r="C317" s="8">
        <v>1883</v>
      </c>
      <c r="D317" s="9">
        <v>45395</v>
      </c>
      <c r="E317" s="13" t="str">
        <f>+HYPERLINK("http://trademark.i-assist.jp/data/china/image_1883th/75906740.pdf","75906740")</f>
        <v>75906740</v>
      </c>
      <c r="F317" s="7" t="s">
        <v>850</v>
      </c>
      <c r="G317" s="7" t="s">
        <v>851</v>
      </c>
      <c r="H317" s="7" t="s">
        <v>852</v>
      </c>
      <c r="I317" s="9">
        <v>45280</v>
      </c>
    </row>
    <row r="318" spans="1:9" x14ac:dyDescent="0.15">
      <c r="A318" s="6">
        <v>317</v>
      </c>
      <c r="B318" s="7" t="s">
        <v>9</v>
      </c>
      <c r="C318" s="8">
        <v>1883</v>
      </c>
      <c r="D318" s="9">
        <v>45395</v>
      </c>
      <c r="E318" s="13" t="str">
        <f>+HYPERLINK("http://trademark.i-assist.jp/data/china/image_1883th/75916903.pdf","75916903")</f>
        <v>75916903</v>
      </c>
      <c r="F318" s="7" t="s">
        <v>853</v>
      </c>
      <c r="G318" s="7" t="s">
        <v>854</v>
      </c>
      <c r="H318" s="7" t="s">
        <v>855</v>
      </c>
      <c r="I318" s="9">
        <v>45280</v>
      </c>
    </row>
    <row r="319" spans="1:9" x14ac:dyDescent="0.15">
      <c r="A319" s="6">
        <v>318</v>
      </c>
      <c r="B319" s="7" t="s">
        <v>9</v>
      </c>
      <c r="C319" s="8">
        <v>1883</v>
      </c>
      <c r="D319" s="9">
        <v>45395</v>
      </c>
      <c r="E319" s="13" t="str">
        <f>+HYPERLINK("http://trademark.i-assist.jp/data/china/image_1883th/75917689.pdf","75917689")</f>
        <v>75917689</v>
      </c>
      <c r="F319" s="7" t="s">
        <v>846</v>
      </c>
      <c r="G319" s="7" t="s">
        <v>847</v>
      </c>
      <c r="H319" s="7" t="s">
        <v>856</v>
      </c>
      <c r="I319" s="9">
        <v>45280</v>
      </c>
    </row>
    <row r="320" spans="1:9" x14ac:dyDescent="0.15">
      <c r="A320" s="6">
        <v>319</v>
      </c>
      <c r="B320" s="7" t="s">
        <v>9</v>
      </c>
      <c r="C320" s="8">
        <v>1883</v>
      </c>
      <c r="D320" s="9">
        <v>45395</v>
      </c>
      <c r="E320" s="13" t="str">
        <f>+HYPERLINK("http://trademark.i-assist.jp/data/china/image_1883th/75918885.pdf","75918885")</f>
        <v>75918885</v>
      </c>
      <c r="F320" s="7" t="s">
        <v>857</v>
      </c>
      <c r="G320" s="7" t="s">
        <v>858</v>
      </c>
      <c r="H320" s="7" t="s">
        <v>859</v>
      </c>
      <c r="I320" s="9">
        <v>45280</v>
      </c>
    </row>
    <row r="321" spans="1:9" x14ac:dyDescent="0.15">
      <c r="A321" s="6">
        <v>320</v>
      </c>
      <c r="B321" s="7" t="s">
        <v>9</v>
      </c>
      <c r="C321" s="8">
        <v>1883</v>
      </c>
      <c r="D321" s="9">
        <v>45395</v>
      </c>
      <c r="E321" s="13" t="str">
        <f>+HYPERLINK("http://trademark.i-assist.jp/data/china/image_1883th/75919803.pdf","75919803")</f>
        <v>75919803</v>
      </c>
      <c r="F321" s="7" t="s">
        <v>860</v>
      </c>
      <c r="G321" s="7" t="s">
        <v>861</v>
      </c>
      <c r="H321" s="7" t="s">
        <v>862</v>
      </c>
      <c r="I321" s="9">
        <v>45280</v>
      </c>
    </row>
    <row r="322" spans="1:9" ht="27" x14ac:dyDescent="0.15">
      <c r="A322" s="6">
        <v>321</v>
      </c>
      <c r="B322" s="7" t="s">
        <v>9</v>
      </c>
      <c r="C322" s="8">
        <v>1883</v>
      </c>
      <c r="D322" s="9">
        <v>45395</v>
      </c>
      <c r="E322" s="13" t="str">
        <f>+HYPERLINK("http://trademark.i-assist.jp/data/china/image_1883th/75921317.pdf","75921317")</f>
        <v>75921317</v>
      </c>
      <c r="F322" s="7" t="s">
        <v>7367</v>
      </c>
      <c r="G322" s="7" t="s">
        <v>863</v>
      </c>
      <c r="H322" s="7" t="s">
        <v>864</v>
      </c>
      <c r="I322" s="9">
        <v>45280</v>
      </c>
    </row>
    <row r="323" spans="1:9" x14ac:dyDescent="0.15">
      <c r="A323" s="6">
        <v>322</v>
      </c>
      <c r="B323" s="7" t="s">
        <v>9</v>
      </c>
      <c r="C323" s="8">
        <v>1883</v>
      </c>
      <c r="D323" s="9">
        <v>45395</v>
      </c>
      <c r="E323" s="13" t="str">
        <f>+HYPERLINK("http://trademark.i-assist.jp/data/china/image_1883th/75922158.pdf","75922158")</f>
        <v>75922158</v>
      </c>
      <c r="F323" s="7" t="s">
        <v>865</v>
      </c>
      <c r="G323" s="7" t="s">
        <v>866</v>
      </c>
      <c r="H323" s="7" t="s">
        <v>867</v>
      </c>
      <c r="I323" s="9">
        <v>45280</v>
      </c>
    </row>
    <row r="324" spans="1:9" x14ac:dyDescent="0.15">
      <c r="A324" s="6">
        <v>323</v>
      </c>
      <c r="B324" s="7" t="s">
        <v>9</v>
      </c>
      <c r="C324" s="8">
        <v>1883</v>
      </c>
      <c r="D324" s="9">
        <v>45395</v>
      </c>
      <c r="E324" s="13" t="str">
        <f>+HYPERLINK("http://trademark.i-assist.jp/data/china/image_1883th/75922438.pdf","75922438")</f>
        <v>75922438</v>
      </c>
      <c r="F324" s="7" t="s">
        <v>868</v>
      </c>
      <c r="G324" s="7" t="s">
        <v>869</v>
      </c>
      <c r="H324" s="7" t="s">
        <v>870</v>
      </c>
      <c r="I324" s="9">
        <v>45280</v>
      </c>
    </row>
    <row r="325" spans="1:9" x14ac:dyDescent="0.15">
      <c r="A325" s="6">
        <v>324</v>
      </c>
      <c r="B325" s="7" t="s">
        <v>9</v>
      </c>
      <c r="C325" s="8">
        <v>1883</v>
      </c>
      <c r="D325" s="9">
        <v>45395</v>
      </c>
      <c r="E325" s="13" t="str">
        <f>+HYPERLINK("http://trademark.i-assist.jp/data/china/image_1883th/75928720.pdf","75928720")</f>
        <v>75928720</v>
      </c>
      <c r="F325" s="7" t="s">
        <v>871</v>
      </c>
      <c r="G325" s="7" t="s">
        <v>872</v>
      </c>
      <c r="H325" s="7" t="s">
        <v>873</v>
      </c>
      <c r="I325" s="9">
        <v>45281</v>
      </c>
    </row>
    <row r="326" spans="1:9" x14ac:dyDescent="0.15">
      <c r="A326" s="6">
        <v>325</v>
      </c>
      <c r="B326" s="7" t="s">
        <v>9</v>
      </c>
      <c r="C326" s="8">
        <v>1883</v>
      </c>
      <c r="D326" s="9">
        <v>45395</v>
      </c>
      <c r="E326" s="13" t="str">
        <f>+HYPERLINK("http://trademark.i-assist.jp/data/china/image_1883th/75930436.pdf","75930436")</f>
        <v>75930436</v>
      </c>
      <c r="F326" s="7" t="s">
        <v>874</v>
      </c>
      <c r="G326" s="7" t="s">
        <v>875</v>
      </c>
      <c r="H326" s="7" t="s">
        <v>876</v>
      </c>
      <c r="I326" s="9">
        <v>45281</v>
      </c>
    </row>
    <row r="327" spans="1:9" ht="27" x14ac:dyDescent="0.15">
      <c r="A327" s="6">
        <v>326</v>
      </c>
      <c r="B327" s="7" t="s">
        <v>9</v>
      </c>
      <c r="C327" s="8">
        <v>1883</v>
      </c>
      <c r="D327" s="9">
        <v>45395</v>
      </c>
      <c r="E327" s="13" t="str">
        <f>+HYPERLINK("http://trademark.i-assist.jp/data/china/image_1883th/75931294.pdf","75931294")</f>
        <v>75931294</v>
      </c>
      <c r="F327" s="7" t="s">
        <v>57</v>
      </c>
      <c r="G327" s="7" t="s">
        <v>877</v>
      </c>
      <c r="H327" s="7" t="s">
        <v>878</v>
      </c>
      <c r="I327" s="9">
        <v>45281</v>
      </c>
    </row>
    <row r="328" spans="1:9" x14ac:dyDescent="0.15">
      <c r="A328" s="6">
        <v>327</v>
      </c>
      <c r="B328" s="7" t="s">
        <v>9</v>
      </c>
      <c r="C328" s="8">
        <v>1883</v>
      </c>
      <c r="D328" s="9">
        <v>45395</v>
      </c>
      <c r="E328" s="13" t="str">
        <f>+HYPERLINK("http://trademark.i-assist.jp/data/china/image_1883th/75931548.pdf","75931548")</f>
        <v>75931548</v>
      </c>
      <c r="F328" s="7" t="s">
        <v>879</v>
      </c>
      <c r="G328" s="7" t="s">
        <v>880</v>
      </c>
      <c r="H328" s="7" t="s">
        <v>881</v>
      </c>
      <c r="I328" s="9">
        <v>45281</v>
      </c>
    </row>
    <row r="329" spans="1:9" ht="27" x14ac:dyDescent="0.15">
      <c r="A329" s="6">
        <v>328</v>
      </c>
      <c r="B329" s="7" t="s">
        <v>9</v>
      </c>
      <c r="C329" s="8">
        <v>1883</v>
      </c>
      <c r="D329" s="9">
        <v>45395</v>
      </c>
      <c r="E329" s="13" t="str">
        <f>+HYPERLINK("http://trademark.i-assist.jp/data/china/image_1883th/75933851.pdf","75933851")</f>
        <v>75933851</v>
      </c>
      <c r="F329" s="7" t="s">
        <v>882</v>
      </c>
      <c r="G329" s="7" t="s">
        <v>883</v>
      </c>
      <c r="H329" s="7" t="s">
        <v>884</v>
      </c>
      <c r="I329" s="9">
        <v>45281</v>
      </c>
    </row>
    <row r="330" spans="1:9" x14ac:dyDescent="0.15">
      <c r="A330" s="6">
        <v>329</v>
      </c>
      <c r="B330" s="7" t="s">
        <v>9</v>
      </c>
      <c r="C330" s="8">
        <v>1883</v>
      </c>
      <c r="D330" s="9">
        <v>45395</v>
      </c>
      <c r="E330" s="13" t="str">
        <f>+HYPERLINK("http://trademark.i-assist.jp/data/china/image_1883th/75933978.pdf","75933978")</f>
        <v>75933978</v>
      </c>
      <c r="F330" s="7" t="s">
        <v>885</v>
      </c>
      <c r="G330" s="7" t="s">
        <v>886</v>
      </c>
      <c r="H330" s="7" t="s">
        <v>887</v>
      </c>
      <c r="I330" s="9">
        <v>45281</v>
      </c>
    </row>
    <row r="331" spans="1:9" x14ac:dyDescent="0.15">
      <c r="A331" s="6">
        <v>330</v>
      </c>
      <c r="B331" s="7" t="s">
        <v>9</v>
      </c>
      <c r="C331" s="8">
        <v>1883</v>
      </c>
      <c r="D331" s="9">
        <v>45395</v>
      </c>
      <c r="E331" s="13" t="str">
        <f>+HYPERLINK("http://trademark.i-assist.jp/data/china/image_1883th/75934103.pdf","75934103")</f>
        <v>75934103</v>
      </c>
      <c r="F331" s="7" t="s">
        <v>888</v>
      </c>
      <c r="G331" s="7" t="s">
        <v>889</v>
      </c>
      <c r="H331" s="7" t="s">
        <v>890</v>
      </c>
      <c r="I331" s="9">
        <v>45281</v>
      </c>
    </row>
    <row r="332" spans="1:9" x14ac:dyDescent="0.15">
      <c r="A332" s="6">
        <v>331</v>
      </c>
      <c r="B332" s="7" t="s">
        <v>9</v>
      </c>
      <c r="C332" s="8">
        <v>1883</v>
      </c>
      <c r="D332" s="9">
        <v>45395</v>
      </c>
      <c r="E332" s="13" t="str">
        <f>+HYPERLINK("http://trademark.i-assist.jp/data/china/image_1883th/75934609.pdf","75934609")</f>
        <v>75934609</v>
      </c>
      <c r="F332" s="7" t="s">
        <v>891</v>
      </c>
      <c r="G332" s="7" t="s">
        <v>892</v>
      </c>
      <c r="H332" s="7" t="s">
        <v>893</v>
      </c>
      <c r="I332" s="9">
        <v>45281</v>
      </c>
    </row>
    <row r="333" spans="1:9" x14ac:dyDescent="0.15">
      <c r="A333" s="6">
        <v>332</v>
      </c>
      <c r="B333" s="7" t="s">
        <v>9</v>
      </c>
      <c r="C333" s="8">
        <v>1883</v>
      </c>
      <c r="D333" s="9">
        <v>45395</v>
      </c>
      <c r="E333" s="13" t="str">
        <f>+HYPERLINK("http://trademark.i-assist.jp/data/china/image_1883th/75935110.pdf","75935110")</f>
        <v>75935110</v>
      </c>
      <c r="F333" s="7" t="s">
        <v>894</v>
      </c>
      <c r="G333" s="7" t="s">
        <v>895</v>
      </c>
      <c r="H333" s="7" t="s">
        <v>896</v>
      </c>
      <c r="I333" s="9">
        <v>45281</v>
      </c>
    </row>
    <row r="334" spans="1:9" x14ac:dyDescent="0.15">
      <c r="A334" s="6">
        <v>333</v>
      </c>
      <c r="B334" s="7" t="s">
        <v>9</v>
      </c>
      <c r="C334" s="8">
        <v>1883</v>
      </c>
      <c r="D334" s="9">
        <v>45395</v>
      </c>
      <c r="E334" s="13" t="str">
        <f>+HYPERLINK("http://trademark.i-assist.jp/data/china/image_1883th/75937922.pdf","75937922")</f>
        <v>75937922</v>
      </c>
      <c r="F334" s="7" t="s">
        <v>897</v>
      </c>
      <c r="G334" s="7" t="s">
        <v>898</v>
      </c>
      <c r="H334" s="7" t="s">
        <v>899</v>
      </c>
      <c r="I334" s="9">
        <v>45281</v>
      </c>
    </row>
    <row r="335" spans="1:9" x14ac:dyDescent="0.15">
      <c r="A335" s="6">
        <v>334</v>
      </c>
      <c r="B335" s="7" t="s">
        <v>9</v>
      </c>
      <c r="C335" s="8">
        <v>1883</v>
      </c>
      <c r="D335" s="9">
        <v>45395</v>
      </c>
      <c r="E335" s="13" t="str">
        <f>+HYPERLINK("http://trademark.i-assist.jp/data/china/image_1883th/75938705.pdf","75938705")</f>
        <v>75938705</v>
      </c>
      <c r="F335" s="7" t="s">
        <v>57</v>
      </c>
      <c r="G335" s="7" t="s">
        <v>900</v>
      </c>
      <c r="H335" s="7" t="s">
        <v>901</v>
      </c>
      <c r="I335" s="9">
        <v>45281</v>
      </c>
    </row>
    <row r="336" spans="1:9" x14ac:dyDescent="0.15">
      <c r="A336" s="6">
        <v>335</v>
      </c>
      <c r="B336" s="7" t="s">
        <v>9</v>
      </c>
      <c r="C336" s="8">
        <v>1883</v>
      </c>
      <c r="D336" s="9">
        <v>45395</v>
      </c>
      <c r="E336" s="13" t="str">
        <f>+HYPERLINK("http://trademark.i-assist.jp/data/china/image_1883th/75943001.pdf","75943001")</f>
        <v>75943001</v>
      </c>
      <c r="F336" s="7" t="s">
        <v>902</v>
      </c>
      <c r="G336" s="7" t="s">
        <v>903</v>
      </c>
      <c r="H336" s="7" t="s">
        <v>904</v>
      </c>
      <c r="I336" s="9">
        <v>45281</v>
      </c>
    </row>
    <row r="337" spans="1:9" x14ac:dyDescent="0.15">
      <c r="A337" s="6">
        <v>336</v>
      </c>
      <c r="B337" s="7" t="s">
        <v>9</v>
      </c>
      <c r="C337" s="8">
        <v>1883</v>
      </c>
      <c r="D337" s="9">
        <v>45395</v>
      </c>
      <c r="E337" s="13" t="str">
        <f>+HYPERLINK("http://trademark.i-assist.jp/data/china/image_1883th/75946680.pdf","75946680")</f>
        <v>75946680</v>
      </c>
      <c r="F337" s="7" t="s">
        <v>905</v>
      </c>
      <c r="G337" s="7" t="s">
        <v>892</v>
      </c>
      <c r="H337" s="7" t="s">
        <v>906</v>
      </c>
      <c r="I337" s="9">
        <v>45281</v>
      </c>
    </row>
    <row r="338" spans="1:9" x14ac:dyDescent="0.15">
      <c r="A338" s="6">
        <v>337</v>
      </c>
      <c r="B338" s="7" t="s">
        <v>9</v>
      </c>
      <c r="C338" s="8">
        <v>1883</v>
      </c>
      <c r="D338" s="9">
        <v>45395</v>
      </c>
      <c r="E338" s="13" t="str">
        <f>+HYPERLINK("http://trademark.i-assist.jp/data/china/image_1883th/75947841.pdf","75947841")</f>
        <v>75947841</v>
      </c>
      <c r="F338" s="7" t="s">
        <v>907</v>
      </c>
      <c r="G338" s="7" t="s">
        <v>908</v>
      </c>
      <c r="H338" s="7" t="s">
        <v>909</v>
      </c>
      <c r="I338" s="9">
        <v>45281</v>
      </c>
    </row>
    <row r="339" spans="1:9" x14ac:dyDescent="0.15">
      <c r="A339" s="6">
        <v>338</v>
      </c>
      <c r="B339" s="7" t="s">
        <v>9</v>
      </c>
      <c r="C339" s="8">
        <v>1883</v>
      </c>
      <c r="D339" s="9">
        <v>45395</v>
      </c>
      <c r="E339" s="13" t="str">
        <f>+HYPERLINK("http://trademark.i-assist.jp/data/china/image_1883th/75948232.pdf","75948232")</f>
        <v>75948232</v>
      </c>
      <c r="F339" s="7" t="s">
        <v>57</v>
      </c>
      <c r="G339" s="7" t="s">
        <v>910</v>
      </c>
      <c r="H339" s="7" t="s">
        <v>911</v>
      </c>
      <c r="I339" s="9">
        <v>45281</v>
      </c>
    </row>
    <row r="340" spans="1:9" x14ac:dyDescent="0.15">
      <c r="A340" s="6">
        <v>339</v>
      </c>
      <c r="B340" s="7" t="s">
        <v>9</v>
      </c>
      <c r="C340" s="8">
        <v>1883</v>
      </c>
      <c r="D340" s="9">
        <v>45395</v>
      </c>
      <c r="E340" s="13" t="str">
        <f>+HYPERLINK("http://trademark.i-assist.jp/data/china/image_1883th/75948670.pdf","75948670")</f>
        <v>75948670</v>
      </c>
      <c r="F340" s="7" t="s">
        <v>912</v>
      </c>
      <c r="G340" s="7" t="s">
        <v>913</v>
      </c>
      <c r="H340" s="7" t="s">
        <v>914</v>
      </c>
      <c r="I340" s="9">
        <v>45281</v>
      </c>
    </row>
    <row r="341" spans="1:9" x14ac:dyDescent="0.15">
      <c r="A341" s="6">
        <v>340</v>
      </c>
      <c r="B341" s="7" t="s">
        <v>9</v>
      </c>
      <c r="C341" s="8">
        <v>1883</v>
      </c>
      <c r="D341" s="9">
        <v>45395</v>
      </c>
      <c r="E341" s="13" t="str">
        <f>+HYPERLINK("http://trademark.i-assist.jp/data/china/image_1883th/75951388.pdf","75951388")</f>
        <v>75951388</v>
      </c>
      <c r="F341" s="7" t="s">
        <v>915</v>
      </c>
      <c r="G341" s="7" t="s">
        <v>916</v>
      </c>
      <c r="H341" s="7" t="s">
        <v>917</v>
      </c>
      <c r="I341" s="9">
        <v>45282</v>
      </c>
    </row>
    <row r="342" spans="1:9" x14ac:dyDescent="0.15">
      <c r="A342" s="6">
        <v>341</v>
      </c>
      <c r="B342" s="7" t="s">
        <v>9</v>
      </c>
      <c r="C342" s="8">
        <v>1883</v>
      </c>
      <c r="D342" s="9">
        <v>45395</v>
      </c>
      <c r="E342" s="13" t="str">
        <f>+HYPERLINK("http://trademark.i-assist.jp/data/china/image_1883th/75951550.pdf","75951550")</f>
        <v>75951550</v>
      </c>
      <c r="F342" s="7" t="s">
        <v>918</v>
      </c>
      <c r="G342" s="7" t="s">
        <v>919</v>
      </c>
      <c r="H342" s="7" t="s">
        <v>920</v>
      </c>
      <c r="I342" s="9">
        <v>45282</v>
      </c>
    </row>
    <row r="343" spans="1:9" x14ac:dyDescent="0.15">
      <c r="A343" s="6">
        <v>342</v>
      </c>
      <c r="B343" s="7" t="s">
        <v>9</v>
      </c>
      <c r="C343" s="8">
        <v>1883</v>
      </c>
      <c r="D343" s="9">
        <v>45395</v>
      </c>
      <c r="E343" s="13" t="str">
        <f>+HYPERLINK("http://trademark.i-assist.jp/data/china/image_1883th/75951595.pdf","75951595")</f>
        <v>75951595</v>
      </c>
      <c r="F343" s="7" t="s">
        <v>921</v>
      </c>
      <c r="G343" s="7" t="s">
        <v>922</v>
      </c>
      <c r="H343" s="7" t="s">
        <v>923</v>
      </c>
      <c r="I343" s="9">
        <v>45282</v>
      </c>
    </row>
    <row r="344" spans="1:9" x14ac:dyDescent="0.15">
      <c r="A344" s="6">
        <v>343</v>
      </c>
      <c r="B344" s="7" t="s">
        <v>9</v>
      </c>
      <c r="C344" s="8">
        <v>1883</v>
      </c>
      <c r="D344" s="9">
        <v>45395</v>
      </c>
      <c r="E344" s="13" t="str">
        <f>+HYPERLINK("http://trademark.i-assist.jp/data/china/image_1883th/75952118.pdf","75952118")</f>
        <v>75952118</v>
      </c>
      <c r="F344" s="7" t="s">
        <v>924</v>
      </c>
      <c r="G344" s="7" t="s">
        <v>925</v>
      </c>
      <c r="H344" s="7" t="s">
        <v>926</v>
      </c>
      <c r="I344" s="9">
        <v>45282</v>
      </c>
    </row>
    <row r="345" spans="1:9" x14ac:dyDescent="0.15">
      <c r="A345" s="6">
        <v>344</v>
      </c>
      <c r="B345" s="7" t="s">
        <v>9</v>
      </c>
      <c r="C345" s="8">
        <v>1883</v>
      </c>
      <c r="D345" s="9">
        <v>45395</v>
      </c>
      <c r="E345" s="13" t="str">
        <f>+HYPERLINK("http://trademark.i-assist.jp/data/china/image_1883th/75956031.pdf","75956031")</f>
        <v>75956031</v>
      </c>
      <c r="F345" s="7" t="s">
        <v>927</v>
      </c>
      <c r="G345" s="7" t="s">
        <v>916</v>
      </c>
      <c r="H345" s="7" t="s">
        <v>928</v>
      </c>
      <c r="I345" s="9">
        <v>45282</v>
      </c>
    </row>
    <row r="346" spans="1:9" x14ac:dyDescent="0.15">
      <c r="A346" s="6">
        <v>345</v>
      </c>
      <c r="B346" s="7" t="s">
        <v>9</v>
      </c>
      <c r="C346" s="8">
        <v>1883</v>
      </c>
      <c r="D346" s="9">
        <v>45395</v>
      </c>
      <c r="E346" s="13" t="str">
        <f>+HYPERLINK("http://trademark.i-assist.jp/data/china/image_1883th/75957108.pdf","75957108")</f>
        <v>75957108</v>
      </c>
      <c r="F346" s="7" t="s">
        <v>929</v>
      </c>
      <c r="G346" s="7" t="s">
        <v>930</v>
      </c>
      <c r="H346" s="7" t="s">
        <v>931</v>
      </c>
      <c r="I346" s="9">
        <v>45282</v>
      </c>
    </row>
    <row r="347" spans="1:9" x14ac:dyDescent="0.15">
      <c r="A347" s="6">
        <v>346</v>
      </c>
      <c r="B347" s="7" t="s">
        <v>9</v>
      </c>
      <c r="C347" s="8">
        <v>1883</v>
      </c>
      <c r="D347" s="9">
        <v>45395</v>
      </c>
      <c r="E347" s="13" t="str">
        <f>+HYPERLINK("http://trademark.i-assist.jp/data/china/image_1883th/75957121.pdf","75957121")</f>
        <v>75957121</v>
      </c>
      <c r="F347" s="7" t="s">
        <v>932</v>
      </c>
      <c r="G347" s="7" t="s">
        <v>933</v>
      </c>
      <c r="H347" s="7" t="s">
        <v>934</v>
      </c>
      <c r="I347" s="9">
        <v>45282</v>
      </c>
    </row>
    <row r="348" spans="1:9" x14ac:dyDescent="0.15">
      <c r="A348" s="6">
        <v>347</v>
      </c>
      <c r="B348" s="7" t="s">
        <v>9</v>
      </c>
      <c r="C348" s="8">
        <v>1883</v>
      </c>
      <c r="D348" s="9">
        <v>45395</v>
      </c>
      <c r="E348" s="13" t="str">
        <f>+HYPERLINK("http://trademark.i-assist.jp/data/china/image_1883th/75957420.pdf","75957420")</f>
        <v>75957420</v>
      </c>
      <c r="F348" s="7" t="s">
        <v>935</v>
      </c>
      <c r="G348" s="7" t="s">
        <v>936</v>
      </c>
      <c r="H348" s="7" t="s">
        <v>937</v>
      </c>
      <c r="I348" s="9">
        <v>45282</v>
      </c>
    </row>
    <row r="349" spans="1:9" x14ac:dyDescent="0.15">
      <c r="A349" s="6">
        <v>348</v>
      </c>
      <c r="B349" s="7" t="s">
        <v>9</v>
      </c>
      <c r="C349" s="8">
        <v>1883</v>
      </c>
      <c r="D349" s="9">
        <v>45395</v>
      </c>
      <c r="E349" s="13" t="str">
        <f>+HYPERLINK("http://trademark.i-assist.jp/data/china/image_1883th/75957421.pdf","75957421")</f>
        <v>75957421</v>
      </c>
      <c r="F349" s="7" t="s">
        <v>938</v>
      </c>
      <c r="G349" s="7" t="s">
        <v>939</v>
      </c>
      <c r="H349" s="7" t="s">
        <v>940</v>
      </c>
      <c r="I349" s="9">
        <v>45282</v>
      </c>
    </row>
    <row r="350" spans="1:9" ht="27" x14ac:dyDescent="0.15">
      <c r="A350" s="6">
        <v>349</v>
      </c>
      <c r="B350" s="7" t="s">
        <v>9</v>
      </c>
      <c r="C350" s="8">
        <v>1883</v>
      </c>
      <c r="D350" s="9">
        <v>45395</v>
      </c>
      <c r="E350" s="13" t="str">
        <f>+HYPERLINK("http://trademark.i-assist.jp/data/china/image_1883th/75958088.pdf","75958088")</f>
        <v>75958088</v>
      </c>
      <c r="F350" s="7" t="s">
        <v>941</v>
      </c>
      <c r="G350" s="7" t="s">
        <v>942</v>
      </c>
      <c r="H350" s="7" t="s">
        <v>943</v>
      </c>
      <c r="I350" s="9">
        <v>45282</v>
      </c>
    </row>
    <row r="351" spans="1:9" x14ac:dyDescent="0.15">
      <c r="A351" s="6">
        <v>350</v>
      </c>
      <c r="B351" s="7" t="s">
        <v>9</v>
      </c>
      <c r="C351" s="8">
        <v>1883</v>
      </c>
      <c r="D351" s="9">
        <v>45395</v>
      </c>
      <c r="E351" s="13" t="str">
        <f>+HYPERLINK("http://trademark.i-assist.jp/data/china/image_1883th/75958654.pdf","75958654")</f>
        <v>75958654</v>
      </c>
      <c r="F351" s="7" t="s">
        <v>944</v>
      </c>
      <c r="G351" s="7" t="s">
        <v>945</v>
      </c>
      <c r="H351" s="7" t="s">
        <v>946</v>
      </c>
      <c r="I351" s="9">
        <v>45282</v>
      </c>
    </row>
    <row r="352" spans="1:9" x14ac:dyDescent="0.15">
      <c r="A352" s="6">
        <v>351</v>
      </c>
      <c r="B352" s="7" t="s">
        <v>9</v>
      </c>
      <c r="C352" s="8">
        <v>1883</v>
      </c>
      <c r="D352" s="9">
        <v>45395</v>
      </c>
      <c r="E352" s="13" t="str">
        <f>+HYPERLINK("http://trademark.i-assist.jp/data/china/image_1883th/75959204.pdf","75959204")</f>
        <v>75959204</v>
      </c>
      <c r="F352" s="7" t="s">
        <v>947</v>
      </c>
      <c r="G352" s="7" t="s">
        <v>948</v>
      </c>
      <c r="H352" s="7" t="s">
        <v>949</v>
      </c>
      <c r="I352" s="9">
        <v>45282</v>
      </c>
    </row>
    <row r="353" spans="1:9" x14ac:dyDescent="0.15">
      <c r="A353" s="6">
        <v>352</v>
      </c>
      <c r="B353" s="7" t="s">
        <v>9</v>
      </c>
      <c r="C353" s="8">
        <v>1883</v>
      </c>
      <c r="D353" s="9">
        <v>45395</v>
      </c>
      <c r="E353" s="13" t="str">
        <f>+HYPERLINK("http://trademark.i-assist.jp/data/china/image_1883th/75959825A.pdf","75959825A")</f>
        <v>75959825A</v>
      </c>
      <c r="F353" s="7" t="s">
        <v>950</v>
      </c>
      <c r="G353" s="7" t="s">
        <v>951</v>
      </c>
      <c r="H353" s="7" t="s">
        <v>952</v>
      </c>
      <c r="I353" s="9">
        <v>45282</v>
      </c>
    </row>
    <row r="354" spans="1:9" x14ac:dyDescent="0.15">
      <c r="A354" s="6">
        <v>353</v>
      </c>
      <c r="B354" s="7" t="s">
        <v>9</v>
      </c>
      <c r="C354" s="8">
        <v>1883</v>
      </c>
      <c r="D354" s="9">
        <v>45395</v>
      </c>
      <c r="E354" s="13" t="str">
        <f>+HYPERLINK("http://trademark.i-assist.jp/data/china/image_1883th/75964093.pdf","75964093")</f>
        <v>75964093</v>
      </c>
      <c r="F354" s="7" t="s">
        <v>953</v>
      </c>
      <c r="G354" s="7" t="s">
        <v>916</v>
      </c>
      <c r="H354" s="7" t="s">
        <v>954</v>
      </c>
      <c r="I354" s="9">
        <v>45282</v>
      </c>
    </row>
    <row r="355" spans="1:9" x14ac:dyDescent="0.15">
      <c r="A355" s="6">
        <v>354</v>
      </c>
      <c r="B355" s="7" t="s">
        <v>9</v>
      </c>
      <c r="C355" s="8">
        <v>1883</v>
      </c>
      <c r="D355" s="9">
        <v>45395</v>
      </c>
      <c r="E355" s="13" t="str">
        <f>+HYPERLINK("http://trademark.i-assist.jp/data/china/image_1883th/75968073.pdf","75968073")</f>
        <v>75968073</v>
      </c>
      <c r="F355" s="7" t="s">
        <v>955</v>
      </c>
      <c r="G355" s="7" t="s">
        <v>956</v>
      </c>
      <c r="H355" s="7" t="s">
        <v>957</v>
      </c>
      <c r="I355" s="9">
        <v>45282</v>
      </c>
    </row>
    <row r="356" spans="1:9" ht="27" x14ac:dyDescent="0.15">
      <c r="A356" s="6">
        <v>355</v>
      </c>
      <c r="B356" s="7" t="s">
        <v>9</v>
      </c>
      <c r="C356" s="8">
        <v>1883</v>
      </c>
      <c r="D356" s="9">
        <v>45395</v>
      </c>
      <c r="E356" s="13" t="str">
        <f>+HYPERLINK("http://trademark.i-assist.jp/data/china/image_1883th/75969376.pdf","75969376")</f>
        <v>75969376</v>
      </c>
      <c r="F356" s="7" t="s">
        <v>958</v>
      </c>
      <c r="G356" s="7" t="s">
        <v>959</v>
      </c>
      <c r="H356" s="7" t="s">
        <v>960</v>
      </c>
      <c r="I356" s="9">
        <v>45282</v>
      </c>
    </row>
    <row r="357" spans="1:9" ht="27" x14ac:dyDescent="0.15">
      <c r="A357" s="6">
        <v>356</v>
      </c>
      <c r="B357" s="7" t="s">
        <v>9</v>
      </c>
      <c r="C357" s="8">
        <v>1883</v>
      </c>
      <c r="D357" s="9">
        <v>45395</v>
      </c>
      <c r="E357" s="13" t="str">
        <f>+HYPERLINK("http://trademark.i-assist.jp/data/china/image_1883th/75971087.pdf","75971087")</f>
        <v>75971087</v>
      </c>
      <c r="F357" s="7" t="s">
        <v>961</v>
      </c>
      <c r="G357" s="7" t="s">
        <v>962</v>
      </c>
      <c r="H357" s="7" t="s">
        <v>963</v>
      </c>
      <c r="I357" s="9">
        <v>45282</v>
      </c>
    </row>
    <row r="358" spans="1:9" ht="27" x14ac:dyDescent="0.15">
      <c r="A358" s="6">
        <v>357</v>
      </c>
      <c r="B358" s="7" t="s">
        <v>9</v>
      </c>
      <c r="C358" s="8">
        <v>1883</v>
      </c>
      <c r="D358" s="9">
        <v>45395</v>
      </c>
      <c r="E358" s="13" t="str">
        <f>+HYPERLINK("http://trademark.i-assist.jp/data/china/image_1883th/75972057.pdf","75972057")</f>
        <v>75972057</v>
      </c>
      <c r="F358" s="7" t="s">
        <v>964</v>
      </c>
      <c r="G358" s="7" t="s">
        <v>965</v>
      </c>
      <c r="H358" s="7" t="s">
        <v>966</v>
      </c>
      <c r="I358" s="9">
        <v>45282</v>
      </c>
    </row>
    <row r="359" spans="1:9" x14ac:dyDescent="0.15">
      <c r="A359" s="6">
        <v>358</v>
      </c>
      <c r="B359" s="7" t="s">
        <v>9</v>
      </c>
      <c r="C359" s="8">
        <v>1883</v>
      </c>
      <c r="D359" s="9">
        <v>45395</v>
      </c>
      <c r="E359" s="13" t="str">
        <f>+HYPERLINK("http://trademark.i-assist.jp/data/china/image_1883th/75973803.pdf","75973803")</f>
        <v>75973803</v>
      </c>
      <c r="F359" s="7" t="s">
        <v>967</v>
      </c>
      <c r="G359" s="7" t="s">
        <v>968</v>
      </c>
      <c r="H359" s="7" t="s">
        <v>969</v>
      </c>
      <c r="I359" s="9">
        <v>45282</v>
      </c>
    </row>
    <row r="360" spans="1:9" ht="27" x14ac:dyDescent="0.15">
      <c r="A360" s="6">
        <v>359</v>
      </c>
      <c r="B360" s="7" t="s">
        <v>9</v>
      </c>
      <c r="C360" s="8">
        <v>1883</v>
      </c>
      <c r="D360" s="9">
        <v>45395</v>
      </c>
      <c r="E360" s="13" t="str">
        <f>+HYPERLINK("http://trademark.i-assist.jp/data/china/image_1883th/75976685.pdf","75976685")</f>
        <v>75976685</v>
      </c>
      <c r="F360" s="7" t="s">
        <v>970</v>
      </c>
      <c r="G360" s="7" t="s">
        <v>971</v>
      </c>
      <c r="H360" s="7" t="s">
        <v>972</v>
      </c>
      <c r="I360" s="9">
        <v>45283</v>
      </c>
    </row>
    <row r="361" spans="1:9" x14ac:dyDescent="0.15">
      <c r="A361" s="6">
        <v>360</v>
      </c>
      <c r="B361" s="7" t="s">
        <v>9</v>
      </c>
      <c r="C361" s="8">
        <v>1883</v>
      </c>
      <c r="D361" s="9">
        <v>45395</v>
      </c>
      <c r="E361" s="13" t="str">
        <f>+HYPERLINK("http://trademark.i-assist.jp/data/china/image_1883th/75976965.pdf","75976965")</f>
        <v>75976965</v>
      </c>
      <c r="F361" s="7" t="s">
        <v>973</v>
      </c>
      <c r="G361" s="7" t="s">
        <v>974</v>
      </c>
      <c r="H361" s="7" t="s">
        <v>975</v>
      </c>
      <c r="I361" s="9">
        <v>45283</v>
      </c>
    </row>
    <row r="362" spans="1:9" ht="27" x14ac:dyDescent="0.15">
      <c r="A362" s="6">
        <v>361</v>
      </c>
      <c r="B362" s="7" t="s">
        <v>9</v>
      </c>
      <c r="C362" s="8">
        <v>1883</v>
      </c>
      <c r="D362" s="9">
        <v>45395</v>
      </c>
      <c r="E362" s="13" t="str">
        <f>+HYPERLINK("http://trademark.i-assist.jp/data/china/image_1883th/75977595.pdf","75977595")</f>
        <v>75977595</v>
      </c>
      <c r="F362" s="7" t="s">
        <v>976</v>
      </c>
      <c r="G362" s="7" t="s">
        <v>977</v>
      </c>
      <c r="H362" s="7" t="s">
        <v>978</v>
      </c>
      <c r="I362" s="9">
        <v>45283</v>
      </c>
    </row>
    <row r="363" spans="1:9" x14ac:dyDescent="0.15">
      <c r="A363" s="6">
        <v>362</v>
      </c>
      <c r="B363" s="7" t="s">
        <v>9</v>
      </c>
      <c r="C363" s="8">
        <v>1883</v>
      </c>
      <c r="D363" s="9">
        <v>45395</v>
      </c>
      <c r="E363" s="13" t="str">
        <f>+HYPERLINK("http://trademark.i-assist.jp/data/china/image_1883th/75979361.pdf","75979361")</f>
        <v>75979361</v>
      </c>
      <c r="F363" s="7" t="s">
        <v>979</v>
      </c>
      <c r="G363" s="7" t="s">
        <v>980</v>
      </c>
      <c r="H363" s="7" t="s">
        <v>981</v>
      </c>
      <c r="I363" s="9">
        <v>45283</v>
      </c>
    </row>
    <row r="364" spans="1:9" x14ac:dyDescent="0.15">
      <c r="A364" s="6">
        <v>363</v>
      </c>
      <c r="B364" s="7" t="s">
        <v>9</v>
      </c>
      <c r="C364" s="8">
        <v>1883</v>
      </c>
      <c r="D364" s="9">
        <v>45395</v>
      </c>
      <c r="E364" s="13" t="str">
        <f>+HYPERLINK("http://trademark.i-assist.jp/data/china/image_1883th/75980885.pdf","75980885")</f>
        <v>75980885</v>
      </c>
      <c r="F364" s="7" t="s">
        <v>982</v>
      </c>
      <c r="G364" s="7" t="s">
        <v>983</v>
      </c>
      <c r="H364" s="7" t="s">
        <v>984</v>
      </c>
      <c r="I364" s="9">
        <v>45283</v>
      </c>
    </row>
    <row r="365" spans="1:9" x14ac:dyDescent="0.15">
      <c r="A365" s="6">
        <v>364</v>
      </c>
      <c r="B365" s="7" t="s">
        <v>9</v>
      </c>
      <c r="C365" s="8">
        <v>1883</v>
      </c>
      <c r="D365" s="9">
        <v>45395</v>
      </c>
      <c r="E365" s="13" t="str">
        <f>+HYPERLINK("http://trademark.i-assist.jp/data/china/image_1883th/75981320.pdf","75981320")</f>
        <v>75981320</v>
      </c>
      <c r="F365" s="7" t="s">
        <v>912</v>
      </c>
      <c r="G365" s="7" t="s">
        <v>985</v>
      </c>
      <c r="H365" s="7" t="s">
        <v>986</v>
      </c>
      <c r="I365" s="9">
        <v>45283</v>
      </c>
    </row>
    <row r="366" spans="1:9" x14ac:dyDescent="0.15">
      <c r="A366" s="6">
        <v>365</v>
      </c>
      <c r="B366" s="7" t="s">
        <v>9</v>
      </c>
      <c r="C366" s="8">
        <v>1883</v>
      </c>
      <c r="D366" s="9">
        <v>45395</v>
      </c>
      <c r="E366" s="13" t="str">
        <f>+HYPERLINK("http://trademark.i-assist.jp/data/china/image_1883th/75982047.pdf","75982047")</f>
        <v>75982047</v>
      </c>
      <c r="F366" s="7" t="s">
        <v>57</v>
      </c>
      <c r="G366" s="7" t="s">
        <v>987</v>
      </c>
      <c r="H366" s="7" t="s">
        <v>988</v>
      </c>
      <c r="I366" s="9">
        <v>45284</v>
      </c>
    </row>
    <row r="367" spans="1:9" x14ac:dyDescent="0.15">
      <c r="A367" s="6">
        <v>366</v>
      </c>
      <c r="B367" s="7" t="s">
        <v>9</v>
      </c>
      <c r="C367" s="8">
        <v>1883</v>
      </c>
      <c r="D367" s="9">
        <v>45395</v>
      </c>
      <c r="E367" s="13" t="str">
        <f>+HYPERLINK("http://trademark.i-assist.jp/data/china/image_1883th/75982080.pdf","75982080")</f>
        <v>75982080</v>
      </c>
      <c r="F367" s="7" t="s">
        <v>989</v>
      </c>
      <c r="G367" s="7" t="s">
        <v>990</v>
      </c>
      <c r="H367" s="7" t="s">
        <v>991</v>
      </c>
      <c r="I367" s="9">
        <v>45284</v>
      </c>
    </row>
    <row r="368" spans="1:9" x14ac:dyDescent="0.15">
      <c r="A368" s="6">
        <v>367</v>
      </c>
      <c r="B368" s="7" t="s">
        <v>9</v>
      </c>
      <c r="C368" s="8">
        <v>1883</v>
      </c>
      <c r="D368" s="9">
        <v>45395</v>
      </c>
      <c r="E368" s="13" t="str">
        <f>+HYPERLINK("http://trademark.i-assist.jp/data/china/image_1883th/75982561.pdf","75982561")</f>
        <v>75982561</v>
      </c>
      <c r="F368" s="7" t="s">
        <v>57</v>
      </c>
      <c r="G368" s="7" t="s">
        <v>987</v>
      </c>
      <c r="H368" s="7" t="s">
        <v>992</v>
      </c>
      <c r="I368" s="9">
        <v>45284</v>
      </c>
    </row>
    <row r="369" spans="1:9" x14ac:dyDescent="0.15">
      <c r="A369" s="6">
        <v>368</v>
      </c>
      <c r="B369" s="7" t="s">
        <v>9</v>
      </c>
      <c r="C369" s="8">
        <v>1883</v>
      </c>
      <c r="D369" s="9">
        <v>45395</v>
      </c>
      <c r="E369" s="13" t="str">
        <f>+HYPERLINK("http://trademark.i-assist.jp/data/china/image_1883th/75985973.pdf","75985973")</f>
        <v>75985973</v>
      </c>
      <c r="F369" s="7" t="s">
        <v>993</v>
      </c>
      <c r="G369" s="7" t="s">
        <v>994</v>
      </c>
      <c r="H369" s="7" t="s">
        <v>995</v>
      </c>
      <c r="I369" s="9">
        <v>45285</v>
      </c>
    </row>
    <row r="370" spans="1:9" ht="27" x14ac:dyDescent="0.15">
      <c r="A370" s="6">
        <v>369</v>
      </c>
      <c r="B370" s="7" t="s">
        <v>9</v>
      </c>
      <c r="C370" s="8">
        <v>1883</v>
      </c>
      <c r="D370" s="9">
        <v>45395</v>
      </c>
      <c r="E370" s="13" t="str">
        <f>+HYPERLINK("http://trademark.i-assist.jp/data/china/image_1883th/75986385.pdf","75986385")</f>
        <v>75986385</v>
      </c>
      <c r="F370" s="7" t="s">
        <v>996</v>
      </c>
      <c r="G370" s="7" t="s">
        <v>997</v>
      </c>
      <c r="H370" s="7" t="s">
        <v>998</v>
      </c>
      <c r="I370" s="9">
        <v>45285</v>
      </c>
    </row>
    <row r="371" spans="1:9" x14ac:dyDescent="0.15">
      <c r="A371" s="6">
        <v>370</v>
      </c>
      <c r="B371" s="7" t="s">
        <v>9</v>
      </c>
      <c r="C371" s="8">
        <v>1883</v>
      </c>
      <c r="D371" s="9">
        <v>45395</v>
      </c>
      <c r="E371" s="13" t="str">
        <f>+HYPERLINK("http://trademark.i-assist.jp/data/china/image_1883th/75987063.pdf","75987063")</f>
        <v>75987063</v>
      </c>
      <c r="F371" s="7" t="s">
        <v>999</v>
      </c>
      <c r="G371" s="7" t="s">
        <v>1000</v>
      </c>
      <c r="H371" s="7" t="s">
        <v>1001</v>
      </c>
      <c r="I371" s="9">
        <v>45285</v>
      </c>
    </row>
    <row r="372" spans="1:9" ht="27" x14ac:dyDescent="0.15">
      <c r="A372" s="6">
        <v>371</v>
      </c>
      <c r="B372" s="7" t="s">
        <v>9</v>
      </c>
      <c r="C372" s="8">
        <v>1883</v>
      </c>
      <c r="D372" s="9">
        <v>45395</v>
      </c>
      <c r="E372" s="13" t="str">
        <f>+HYPERLINK("http://trademark.i-assist.jp/data/china/image_1883th/75989082.pdf","75989082")</f>
        <v>75989082</v>
      </c>
      <c r="F372" s="7" t="s">
        <v>1002</v>
      </c>
      <c r="G372" s="7" t="s">
        <v>1003</v>
      </c>
      <c r="H372" s="7" t="s">
        <v>1004</v>
      </c>
      <c r="I372" s="9">
        <v>45285</v>
      </c>
    </row>
    <row r="373" spans="1:9" ht="27" x14ac:dyDescent="0.15">
      <c r="A373" s="6">
        <v>372</v>
      </c>
      <c r="B373" s="7" t="s">
        <v>9</v>
      </c>
      <c r="C373" s="8">
        <v>1883</v>
      </c>
      <c r="D373" s="9">
        <v>45395</v>
      </c>
      <c r="E373" s="13" t="str">
        <f>+HYPERLINK("http://trademark.i-assist.jp/data/china/image_1883th/75990447.pdf","75990447")</f>
        <v>75990447</v>
      </c>
      <c r="F373" s="7" t="s">
        <v>1005</v>
      </c>
      <c r="G373" s="7" t="s">
        <v>1006</v>
      </c>
      <c r="H373" s="7" t="s">
        <v>1007</v>
      </c>
      <c r="I373" s="9">
        <v>45285</v>
      </c>
    </row>
    <row r="374" spans="1:9" x14ac:dyDescent="0.15">
      <c r="A374" s="6">
        <v>373</v>
      </c>
      <c r="B374" s="7" t="s">
        <v>9</v>
      </c>
      <c r="C374" s="8">
        <v>1883</v>
      </c>
      <c r="D374" s="9">
        <v>45395</v>
      </c>
      <c r="E374" s="13" t="str">
        <f>+HYPERLINK("http://trademark.i-assist.jp/data/china/image_1883th/75990718.pdf","75990718")</f>
        <v>75990718</v>
      </c>
      <c r="F374" s="7" t="s">
        <v>57</v>
      </c>
      <c r="G374" s="7" t="s">
        <v>1008</v>
      </c>
      <c r="H374" s="7" t="s">
        <v>1009</v>
      </c>
      <c r="I374" s="9">
        <v>45285</v>
      </c>
    </row>
    <row r="375" spans="1:9" x14ac:dyDescent="0.15">
      <c r="A375" s="6">
        <v>374</v>
      </c>
      <c r="B375" s="7" t="s">
        <v>9</v>
      </c>
      <c r="C375" s="8">
        <v>1883</v>
      </c>
      <c r="D375" s="9">
        <v>45395</v>
      </c>
      <c r="E375" s="13" t="str">
        <f>+HYPERLINK("http://trademark.i-assist.jp/data/china/image_1883th/75991185.pdf","75991185")</f>
        <v>75991185</v>
      </c>
      <c r="F375" s="7" t="s">
        <v>1010</v>
      </c>
      <c r="G375" s="7" t="s">
        <v>1011</v>
      </c>
      <c r="H375" s="7" t="s">
        <v>1012</v>
      </c>
      <c r="I375" s="9">
        <v>45285</v>
      </c>
    </row>
    <row r="376" spans="1:9" x14ac:dyDescent="0.15">
      <c r="A376" s="6">
        <v>375</v>
      </c>
      <c r="B376" s="7" t="s">
        <v>9</v>
      </c>
      <c r="C376" s="8">
        <v>1883</v>
      </c>
      <c r="D376" s="9">
        <v>45395</v>
      </c>
      <c r="E376" s="13" t="str">
        <f>+HYPERLINK("http://trademark.i-assist.jp/data/china/image_1883th/75991801.pdf","75991801")</f>
        <v>75991801</v>
      </c>
      <c r="F376" s="7" t="s">
        <v>1013</v>
      </c>
      <c r="G376" s="7" t="s">
        <v>1000</v>
      </c>
      <c r="H376" s="7" t="s">
        <v>1014</v>
      </c>
      <c r="I376" s="9">
        <v>45285</v>
      </c>
    </row>
    <row r="377" spans="1:9" x14ac:dyDescent="0.15">
      <c r="A377" s="6">
        <v>376</v>
      </c>
      <c r="B377" s="7" t="s">
        <v>9</v>
      </c>
      <c r="C377" s="8">
        <v>1883</v>
      </c>
      <c r="D377" s="9">
        <v>45395</v>
      </c>
      <c r="E377" s="13" t="str">
        <f>+HYPERLINK("http://trademark.i-assist.jp/data/china/image_1883th/75992953.pdf","75992953")</f>
        <v>75992953</v>
      </c>
      <c r="F377" s="7" t="s">
        <v>1015</v>
      </c>
      <c r="G377" s="7" t="s">
        <v>1016</v>
      </c>
      <c r="H377" s="7" t="s">
        <v>1017</v>
      </c>
      <c r="I377" s="9">
        <v>45286</v>
      </c>
    </row>
    <row r="378" spans="1:9" ht="27" x14ac:dyDescent="0.15">
      <c r="A378" s="6">
        <v>377</v>
      </c>
      <c r="B378" s="7" t="s">
        <v>9</v>
      </c>
      <c r="C378" s="8">
        <v>1883</v>
      </c>
      <c r="D378" s="9">
        <v>45395</v>
      </c>
      <c r="E378" s="13" t="str">
        <f>+HYPERLINK("http://trademark.i-assist.jp/data/china/image_1883th/75995238.pdf","75995238")</f>
        <v>75995238</v>
      </c>
      <c r="F378" s="7" t="s">
        <v>57</v>
      </c>
      <c r="G378" s="7" t="s">
        <v>1018</v>
      </c>
      <c r="H378" s="7" t="s">
        <v>1019</v>
      </c>
      <c r="I378" s="9">
        <v>45285</v>
      </c>
    </row>
    <row r="379" spans="1:9" ht="27" x14ac:dyDescent="0.15">
      <c r="A379" s="6">
        <v>378</v>
      </c>
      <c r="B379" s="7" t="s">
        <v>9</v>
      </c>
      <c r="C379" s="8">
        <v>1883</v>
      </c>
      <c r="D379" s="9">
        <v>45395</v>
      </c>
      <c r="E379" s="13" t="str">
        <f>+HYPERLINK("http://trademark.i-assist.jp/data/china/image_1883th/75997016.pdf","75997016")</f>
        <v>75997016</v>
      </c>
      <c r="F379" s="7" t="s">
        <v>1020</v>
      </c>
      <c r="G379" s="7" t="s">
        <v>1021</v>
      </c>
      <c r="H379" s="7" t="s">
        <v>1022</v>
      </c>
      <c r="I379" s="9">
        <v>45285</v>
      </c>
    </row>
    <row r="380" spans="1:9" x14ac:dyDescent="0.15">
      <c r="A380" s="6">
        <v>379</v>
      </c>
      <c r="B380" s="7" t="s">
        <v>9</v>
      </c>
      <c r="C380" s="8">
        <v>1883</v>
      </c>
      <c r="D380" s="9">
        <v>45395</v>
      </c>
      <c r="E380" s="13" t="str">
        <f>+HYPERLINK("http://trademark.i-assist.jp/data/china/image_1883th/75998183.pdf","75998183")</f>
        <v>75998183</v>
      </c>
      <c r="F380" s="7" t="s">
        <v>1023</v>
      </c>
      <c r="G380" s="7" t="s">
        <v>1011</v>
      </c>
      <c r="H380" s="7" t="s">
        <v>1024</v>
      </c>
      <c r="I380" s="9">
        <v>45285</v>
      </c>
    </row>
    <row r="381" spans="1:9" ht="27" x14ac:dyDescent="0.15">
      <c r="A381" s="6">
        <v>380</v>
      </c>
      <c r="B381" s="7" t="s">
        <v>9</v>
      </c>
      <c r="C381" s="8">
        <v>1883</v>
      </c>
      <c r="D381" s="9">
        <v>45395</v>
      </c>
      <c r="E381" s="13" t="str">
        <f>+HYPERLINK("http://trademark.i-assist.jp/data/china/image_1883th/75999240.pdf","75999240")</f>
        <v>75999240</v>
      </c>
      <c r="F381" s="7" t="s">
        <v>1025</v>
      </c>
      <c r="G381" s="7" t="s">
        <v>997</v>
      </c>
      <c r="H381" s="7" t="s">
        <v>1026</v>
      </c>
      <c r="I381" s="9">
        <v>45285</v>
      </c>
    </row>
    <row r="382" spans="1:9" ht="27" x14ac:dyDescent="0.15">
      <c r="A382" s="6">
        <v>381</v>
      </c>
      <c r="B382" s="7" t="s">
        <v>9</v>
      </c>
      <c r="C382" s="8">
        <v>1883</v>
      </c>
      <c r="D382" s="9">
        <v>45395</v>
      </c>
      <c r="E382" s="13" t="str">
        <f>+HYPERLINK("http://trademark.i-assist.jp/data/china/image_1883th/75999250.pdf","75999250")</f>
        <v>75999250</v>
      </c>
      <c r="F382" s="7" t="s">
        <v>1027</v>
      </c>
      <c r="G382" s="7" t="s">
        <v>997</v>
      </c>
      <c r="H382" s="7" t="s">
        <v>1028</v>
      </c>
      <c r="I382" s="9">
        <v>45285</v>
      </c>
    </row>
    <row r="383" spans="1:9" x14ac:dyDescent="0.15">
      <c r="A383" s="6">
        <v>382</v>
      </c>
      <c r="B383" s="7" t="s">
        <v>9</v>
      </c>
      <c r="C383" s="8">
        <v>1883</v>
      </c>
      <c r="D383" s="9">
        <v>45395</v>
      </c>
      <c r="E383" s="13" t="str">
        <f>+HYPERLINK("http://trademark.i-assist.jp/data/china/image_1883th/75999581.pdf","75999581")</f>
        <v>75999581</v>
      </c>
      <c r="F383" s="7" t="s">
        <v>1029</v>
      </c>
      <c r="G383" s="7" t="s">
        <v>1030</v>
      </c>
      <c r="H383" s="7" t="s">
        <v>1031</v>
      </c>
      <c r="I383" s="9">
        <v>45285</v>
      </c>
    </row>
    <row r="384" spans="1:9" x14ac:dyDescent="0.15">
      <c r="A384" s="6">
        <v>383</v>
      </c>
      <c r="B384" s="7" t="s">
        <v>9</v>
      </c>
      <c r="C384" s="8">
        <v>1883</v>
      </c>
      <c r="D384" s="9">
        <v>45395</v>
      </c>
      <c r="E384" s="13" t="str">
        <f>+HYPERLINK("http://trademark.i-assist.jp/data/china/image_1883th/75999597.pdf","75999597")</f>
        <v>75999597</v>
      </c>
      <c r="F384" s="7" t="s">
        <v>1032</v>
      </c>
      <c r="G384" s="7" t="s">
        <v>1033</v>
      </c>
      <c r="H384" s="7" t="s">
        <v>1034</v>
      </c>
      <c r="I384" s="9">
        <v>45285</v>
      </c>
    </row>
    <row r="385" spans="1:9" x14ac:dyDescent="0.15">
      <c r="A385" s="6">
        <v>384</v>
      </c>
      <c r="B385" s="7" t="s">
        <v>9</v>
      </c>
      <c r="C385" s="8">
        <v>1883</v>
      </c>
      <c r="D385" s="9">
        <v>45395</v>
      </c>
      <c r="E385" s="13" t="str">
        <f>+HYPERLINK("http://trademark.i-assist.jp/data/china/image_1883th/75999659.pdf","75999659")</f>
        <v>75999659</v>
      </c>
      <c r="F385" s="7" t="s">
        <v>1035</v>
      </c>
      <c r="G385" s="7" t="s">
        <v>1036</v>
      </c>
      <c r="H385" s="7" t="s">
        <v>653</v>
      </c>
      <c r="I385" s="9">
        <v>45285</v>
      </c>
    </row>
    <row r="386" spans="1:9" x14ac:dyDescent="0.15">
      <c r="A386" s="6">
        <v>385</v>
      </c>
      <c r="B386" s="7" t="s">
        <v>9</v>
      </c>
      <c r="C386" s="8">
        <v>1883</v>
      </c>
      <c r="D386" s="9">
        <v>45395</v>
      </c>
      <c r="E386" s="13" t="str">
        <f>+HYPERLINK("http://trademark.i-assist.jp/data/china/image_1883th/75999681.pdf","75999681")</f>
        <v>75999681</v>
      </c>
      <c r="F386" s="7" t="s">
        <v>1037</v>
      </c>
      <c r="G386" s="7" t="s">
        <v>1038</v>
      </c>
      <c r="H386" s="7" t="s">
        <v>1039</v>
      </c>
      <c r="I386" s="9">
        <v>45285</v>
      </c>
    </row>
    <row r="387" spans="1:9" x14ac:dyDescent="0.15">
      <c r="A387" s="6">
        <v>386</v>
      </c>
      <c r="B387" s="7" t="s">
        <v>9</v>
      </c>
      <c r="C387" s="8">
        <v>1883</v>
      </c>
      <c r="D387" s="9">
        <v>45395</v>
      </c>
      <c r="E387" s="13" t="str">
        <f>+HYPERLINK("http://trademark.i-assist.jp/data/china/image_1883th/76000810.pdf","76000810")</f>
        <v>76000810</v>
      </c>
      <c r="F387" s="7" t="s">
        <v>1040</v>
      </c>
      <c r="G387" s="7" t="s">
        <v>1000</v>
      </c>
      <c r="H387" s="7" t="s">
        <v>1041</v>
      </c>
      <c r="I387" s="9">
        <v>45285</v>
      </c>
    </row>
    <row r="388" spans="1:9" x14ac:dyDescent="0.15">
      <c r="A388" s="6">
        <v>387</v>
      </c>
      <c r="B388" s="7" t="s">
        <v>9</v>
      </c>
      <c r="C388" s="8">
        <v>1883</v>
      </c>
      <c r="D388" s="9">
        <v>45395</v>
      </c>
      <c r="E388" s="13" t="str">
        <f>+HYPERLINK("http://trademark.i-assist.jp/data/china/image_1883th/76001148.pdf","76001148")</f>
        <v>76001148</v>
      </c>
      <c r="F388" s="7" t="s">
        <v>1042</v>
      </c>
      <c r="G388" s="7" t="s">
        <v>1043</v>
      </c>
      <c r="H388" s="7" t="s">
        <v>1044</v>
      </c>
      <c r="I388" s="9">
        <v>45285</v>
      </c>
    </row>
    <row r="389" spans="1:9" x14ac:dyDescent="0.15">
      <c r="A389" s="6">
        <v>388</v>
      </c>
      <c r="B389" s="7" t="s">
        <v>9</v>
      </c>
      <c r="C389" s="8">
        <v>1883</v>
      </c>
      <c r="D389" s="9">
        <v>45395</v>
      </c>
      <c r="E389" s="13" t="str">
        <f>+HYPERLINK("http://trademark.i-assist.jp/data/china/image_1883th/76002284.pdf","76002284")</f>
        <v>76002284</v>
      </c>
      <c r="F389" s="7" t="s">
        <v>1045</v>
      </c>
      <c r="G389" s="7" t="s">
        <v>1000</v>
      </c>
      <c r="H389" s="7" t="s">
        <v>1046</v>
      </c>
      <c r="I389" s="9">
        <v>45285</v>
      </c>
    </row>
    <row r="390" spans="1:9" ht="27" x14ac:dyDescent="0.15">
      <c r="A390" s="6">
        <v>389</v>
      </c>
      <c r="B390" s="7" t="s">
        <v>9</v>
      </c>
      <c r="C390" s="8">
        <v>1883</v>
      </c>
      <c r="D390" s="9">
        <v>45395</v>
      </c>
      <c r="E390" s="13" t="str">
        <f>+HYPERLINK("http://trademark.i-assist.jp/data/china/image_1883th/76002618.pdf","76002618")</f>
        <v>76002618</v>
      </c>
      <c r="F390" s="7" t="s">
        <v>1047</v>
      </c>
      <c r="G390" s="7" t="s">
        <v>1048</v>
      </c>
      <c r="H390" s="7" t="s">
        <v>1049</v>
      </c>
      <c r="I390" s="9">
        <v>45285</v>
      </c>
    </row>
    <row r="391" spans="1:9" x14ac:dyDescent="0.15">
      <c r="A391" s="6">
        <v>390</v>
      </c>
      <c r="B391" s="7" t="s">
        <v>9</v>
      </c>
      <c r="C391" s="8">
        <v>1883</v>
      </c>
      <c r="D391" s="9">
        <v>45395</v>
      </c>
      <c r="E391" s="13" t="str">
        <f>+HYPERLINK("http://trademark.i-assist.jp/data/china/image_1883th/76002673.pdf","76002673")</f>
        <v>76002673</v>
      </c>
      <c r="F391" s="7" t="s">
        <v>1050</v>
      </c>
      <c r="G391" s="7" t="s">
        <v>1051</v>
      </c>
      <c r="H391" s="7" t="s">
        <v>1052</v>
      </c>
      <c r="I391" s="9">
        <v>45285</v>
      </c>
    </row>
    <row r="392" spans="1:9" x14ac:dyDescent="0.15">
      <c r="A392" s="6">
        <v>391</v>
      </c>
      <c r="B392" s="7" t="s">
        <v>9</v>
      </c>
      <c r="C392" s="8">
        <v>1883</v>
      </c>
      <c r="D392" s="9">
        <v>45395</v>
      </c>
      <c r="E392" s="13" t="str">
        <f>+HYPERLINK("http://trademark.i-assist.jp/data/china/image_1883th/76004211.pdf","76004211")</f>
        <v>76004211</v>
      </c>
      <c r="F392" s="7" t="s">
        <v>1053</v>
      </c>
      <c r="G392" s="7" t="s">
        <v>1054</v>
      </c>
      <c r="H392" s="7" t="s">
        <v>1055</v>
      </c>
      <c r="I392" s="9">
        <v>45285</v>
      </c>
    </row>
    <row r="393" spans="1:9" x14ac:dyDescent="0.15">
      <c r="A393" s="6">
        <v>392</v>
      </c>
      <c r="B393" s="7" t="s">
        <v>9</v>
      </c>
      <c r="C393" s="8">
        <v>1883</v>
      </c>
      <c r="D393" s="9">
        <v>45395</v>
      </c>
      <c r="E393" s="13" t="str">
        <f>+HYPERLINK("http://trademark.i-assist.jp/data/china/image_1883th/76005429.pdf","76005429")</f>
        <v>76005429</v>
      </c>
      <c r="F393" s="7" t="s">
        <v>1056</v>
      </c>
      <c r="G393" s="7" t="s">
        <v>1057</v>
      </c>
      <c r="H393" s="7" t="s">
        <v>1058</v>
      </c>
      <c r="I393" s="9">
        <v>45285</v>
      </c>
    </row>
    <row r="394" spans="1:9" x14ac:dyDescent="0.15">
      <c r="A394" s="6">
        <v>393</v>
      </c>
      <c r="B394" s="7" t="s">
        <v>9</v>
      </c>
      <c r="C394" s="8">
        <v>1883</v>
      </c>
      <c r="D394" s="9">
        <v>45395</v>
      </c>
      <c r="E394" s="13" t="str">
        <f>+HYPERLINK("http://trademark.i-assist.jp/data/china/image_1883th/76006676.pdf","76006676")</f>
        <v>76006676</v>
      </c>
      <c r="F394" s="7" t="s">
        <v>1059</v>
      </c>
      <c r="G394" s="7" t="s">
        <v>1060</v>
      </c>
      <c r="H394" s="7" t="s">
        <v>1061</v>
      </c>
      <c r="I394" s="9">
        <v>45285</v>
      </c>
    </row>
    <row r="395" spans="1:9" x14ac:dyDescent="0.15">
      <c r="A395" s="6">
        <v>394</v>
      </c>
      <c r="B395" s="7" t="s">
        <v>9</v>
      </c>
      <c r="C395" s="8">
        <v>1883</v>
      </c>
      <c r="D395" s="9">
        <v>45395</v>
      </c>
      <c r="E395" s="13" t="str">
        <f>+HYPERLINK("http://trademark.i-assist.jp/data/china/image_1883th/76007500.pdf","76007500")</f>
        <v>76007500</v>
      </c>
      <c r="F395" s="7" t="s">
        <v>1062</v>
      </c>
      <c r="G395" s="7" t="s">
        <v>1063</v>
      </c>
      <c r="H395" s="7" t="s">
        <v>1064</v>
      </c>
      <c r="I395" s="9">
        <v>45285</v>
      </c>
    </row>
    <row r="396" spans="1:9" x14ac:dyDescent="0.15">
      <c r="A396" s="6">
        <v>395</v>
      </c>
      <c r="B396" s="7" t="s">
        <v>9</v>
      </c>
      <c r="C396" s="8">
        <v>1883</v>
      </c>
      <c r="D396" s="9">
        <v>45395</v>
      </c>
      <c r="E396" s="13" t="str">
        <f>+HYPERLINK("http://trademark.i-assist.jp/data/china/image_1883th/76008350.pdf","76008350")</f>
        <v>76008350</v>
      </c>
      <c r="F396" s="7" t="s">
        <v>1065</v>
      </c>
      <c r="G396" s="7" t="s">
        <v>1066</v>
      </c>
      <c r="H396" s="7" t="s">
        <v>1067</v>
      </c>
      <c r="I396" s="9">
        <v>45285</v>
      </c>
    </row>
    <row r="397" spans="1:9" x14ac:dyDescent="0.15">
      <c r="A397" s="6">
        <v>396</v>
      </c>
      <c r="B397" s="7" t="s">
        <v>9</v>
      </c>
      <c r="C397" s="8">
        <v>1883</v>
      </c>
      <c r="D397" s="9">
        <v>45395</v>
      </c>
      <c r="E397" s="13" t="str">
        <f>+HYPERLINK("http://trademark.i-assist.jp/data/china/image_1883th/76009869.pdf","76009869")</f>
        <v>76009869</v>
      </c>
      <c r="F397" s="7" t="s">
        <v>1068</v>
      </c>
      <c r="G397" s="7" t="s">
        <v>1069</v>
      </c>
      <c r="H397" s="7" t="s">
        <v>1070</v>
      </c>
      <c r="I397" s="9">
        <v>45285</v>
      </c>
    </row>
    <row r="398" spans="1:9" x14ac:dyDescent="0.15">
      <c r="A398" s="6">
        <v>397</v>
      </c>
      <c r="B398" s="7" t="s">
        <v>9</v>
      </c>
      <c r="C398" s="8">
        <v>1883</v>
      </c>
      <c r="D398" s="9">
        <v>45395</v>
      </c>
      <c r="E398" s="13" t="str">
        <f>+HYPERLINK("http://trademark.i-assist.jp/data/china/image_1883th/76012079.pdf","76012079")</f>
        <v>76012079</v>
      </c>
      <c r="F398" s="7" t="s">
        <v>1071</v>
      </c>
      <c r="G398" s="7" t="s">
        <v>1072</v>
      </c>
      <c r="H398" s="7" t="s">
        <v>1073</v>
      </c>
      <c r="I398" s="9">
        <v>45286</v>
      </c>
    </row>
    <row r="399" spans="1:9" x14ac:dyDescent="0.15">
      <c r="A399" s="6">
        <v>398</v>
      </c>
      <c r="B399" s="7" t="s">
        <v>9</v>
      </c>
      <c r="C399" s="8">
        <v>1883</v>
      </c>
      <c r="D399" s="9">
        <v>45395</v>
      </c>
      <c r="E399" s="13" t="str">
        <f>+HYPERLINK("http://trademark.i-assist.jp/data/china/image_1883th/76016444.pdf","76016444")</f>
        <v>76016444</v>
      </c>
      <c r="F399" s="7" t="s">
        <v>1074</v>
      </c>
      <c r="G399" s="7" t="s">
        <v>1075</v>
      </c>
      <c r="H399" s="7" t="s">
        <v>1076</v>
      </c>
      <c r="I399" s="9">
        <v>45286</v>
      </c>
    </row>
    <row r="400" spans="1:9" x14ac:dyDescent="0.15">
      <c r="A400" s="6">
        <v>399</v>
      </c>
      <c r="B400" s="7" t="s">
        <v>9</v>
      </c>
      <c r="C400" s="8">
        <v>1883</v>
      </c>
      <c r="D400" s="9">
        <v>45395</v>
      </c>
      <c r="E400" s="13" t="str">
        <f>+HYPERLINK("http://trademark.i-assist.jp/data/china/image_1883th/76016691.pdf","76016691")</f>
        <v>76016691</v>
      </c>
      <c r="F400" s="7" t="s">
        <v>1077</v>
      </c>
      <c r="G400" s="7" t="s">
        <v>1078</v>
      </c>
      <c r="H400" s="7" t="s">
        <v>1079</v>
      </c>
      <c r="I400" s="9">
        <v>45286</v>
      </c>
    </row>
    <row r="401" spans="1:9" x14ac:dyDescent="0.15">
      <c r="A401" s="6">
        <v>400</v>
      </c>
      <c r="B401" s="7" t="s">
        <v>9</v>
      </c>
      <c r="C401" s="8">
        <v>1883</v>
      </c>
      <c r="D401" s="9">
        <v>45395</v>
      </c>
      <c r="E401" s="13" t="str">
        <f>+HYPERLINK("http://trademark.i-assist.jp/data/china/image_1883th/76016961.pdf","76016961")</f>
        <v>76016961</v>
      </c>
      <c r="F401" s="7" t="s">
        <v>1080</v>
      </c>
      <c r="G401" s="7" t="s">
        <v>1081</v>
      </c>
      <c r="H401" s="7" t="s">
        <v>1082</v>
      </c>
      <c r="I401" s="9">
        <v>45286</v>
      </c>
    </row>
    <row r="402" spans="1:9" x14ac:dyDescent="0.15">
      <c r="A402" s="6">
        <v>401</v>
      </c>
      <c r="B402" s="7" t="s">
        <v>9</v>
      </c>
      <c r="C402" s="8">
        <v>1883</v>
      </c>
      <c r="D402" s="9">
        <v>45395</v>
      </c>
      <c r="E402" s="13" t="str">
        <f>+HYPERLINK("http://trademark.i-assist.jp/data/china/image_1883th/76018241.pdf","76018241")</f>
        <v>76018241</v>
      </c>
      <c r="F402" s="7" t="s">
        <v>1083</v>
      </c>
      <c r="G402" s="7" t="s">
        <v>1084</v>
      </c>
      <c r="H402" s="7" t="s">
        <v>1085</v>
      </c>
      <c r="I402" s="9">
        <v>45286</v>
      </c>
    </row>
    <row r="403" spans="1:9" x14ac:dyDescent="0.15">
      <c r="A403" s="6">
        <v>402</v>
      </c>
      <c r="B403" s="7" t="s">
        <v>9</v>
      </c>
      <c r="C403" s="8">
        <v>1883</v>
      </c>
      <c r="D403" s="9">
        <v>45395</v>
      </c>
      <c r="E403" s="13" t="str">
        <f>+HYPERLINK("http://trademark.i-assist.jp/data/china/image_1883th/76018988.pdf","76018988")</f>
        <v>76018988</v>
      </c>
      <c r="F403" s="7" t="s">
        <v>1086</v>
      </c>
      <c r="G403" s="7" t="s">
        <v>1000</v>
      </c>
      <c r="H403" s="7" t="s">
        <v>1087</v>
      </c>
      <c r="I403" s="9">
        <v>45285</v>
      </c>
    </row>
    <row r="404" spans="1:9" x14ac:dyDescent="0.15">
      <c r="A404" s="6">
        <v>403</v>
      </c>
      <c r="B404" s="7" t="s">
        <v>9</v>
      </c>
      <c r="C404" s="8">
        <v>1883</v>
      </c>
      <c r="D404" s="9">
        <v>45395</v>
      </c>
      <c r="E404" s="13" t="str">
        <f>+HYPERLINK("http://trademark.i-assist.jp/data/china/image_1883th/76020531.pdf","76020531")</f>
        <v>76020531</v>
      </c>
      <c r="F404" s="7" t="s">
        <v>57</v>
      </c>
      <c r="G404" s="7" t="s">
        <v>365</v>
      </c>
      <c r="H404" s="7" t="s">
        <v>1088</v>
      </c>
      <c r="I404" s="9">
        <v>45285</v>
      </c>
    </row>
    <row r="405" spans="1:9" x14ac:dyDescent="0.15">
      <c r="A405" s="6">
        <v>404</v>
      </c>
      <c r="B405" s="7" t="s">
        <v>9</v>
      </c>
      <c r="C405" s="8">
        <v>1883</v>
      </c>
      <c r="D405" s="9">
        <v>45395</v>
      </c>
      <c r="E405" s="13" t="str">
        <f>+HYPERLINK("http://trademark.i-assist.jp/data/china/image_1883th/76020908.pdf","76020908")</f>
        <v>76020908</v>
      </c>
      <c r="F405" s="7" t="s">
        <v>1089</v>
      </c>
      <c r="G405" s="7" t="s">
        <v>1090</v>
      </c>
      <c r="H405" s="7" t="s">
        <v>1091</v>
      </c>
      <c r="I405" s="9">
        <v>45285</v>
      </c>
    </row>
    <row r="406" spans="1:9" ht="27" x14ac:dyDescent="0.15">
      <c r="A406" s="6">
        <v>405</v>
      </c>
      <c r="B406" s="7" t="s">
        <v>9</v>
      </c>
      <c r="C406" s="8">
        <v>1883</v>
      </c>
      <c r="D406" s="9">
        <v>45395</v>
      </c>
      <c r="E406" s="13" t="str">
        <f>+HYPERLINK("http://trademark.i-assist.jp/data/china/image_1883th/76021534.pdf","76021534")</f>
        <v>76021534</v>
      </c>
      <c r="F406" s="7" t="s">
        <v>1092</v>
      </c>
      <c r="G406" s="7" t="s">
        <v>1093</v>
      </c>
      <c r="H406" s="7" t="s">
        <v>1094</v>
      </c>
      <c r="I406" s="9">
        <v>45286</v>
      </c>
    </row>
    <row r="407" spans="1:9" x14ac:dyDescent="0.15">
      <c r="A407" s="6">
        <v>406</v>
      </c>
      <c r="B407" s="7" t="s">
        <v>9</v>
      </c>
      <c r="C407" s="8">
        <v>1883</v>
      </c>
      <c r="D407" s="9">
        <v>45395</v>
      </c>
      <c r="E407" s="13" t="str">
        <f>+HYPERLINK("http://trademark.i-assist.jp/data/china/image_1883th/76024106.pdf","76024106")</f>
        <v>76024106</v>
      </c>
      <c r="F407" s="7" t="s">
        <v>1095</v>
      </c>
      <c r="G407" s="7" t="s">
        <v>1096</v>
      </c>
      <c r="H407" s="7" t="s">
        <v>1097</v>
      </c>
      <c r="I407" s="9">
        <v>45286</v>
      </c>
    </row>
    <row r="408" spans="1:9" x14ac:dyDescent="0.15">
      <c r="A408" s="6">
        <v>407</v>
      </c>
      <c r="B408" s="7" t="s">
        <v>9</v>
      </c>
      <c r="C408" s="8">
        <v>1883</v>
      </c>
      <c r="D408" s="9">
        <v>45395</v>
      </c>
      <c r="E408" s="13" t="str">
        <f>+HYPERLINK("http://trademark.i-assist.jp/data/china/image_1883th/76025080.pdf","76025080")</f>
        <v>76025080</v>
      </c>
      <c r="F408" s="7" t="s">
        <v>1098</v>
      </c>
      <c r="G408" s="7" t="s">
        <v>1099</v>
      </c>
      <c r="H408" s="7" t="s">
        <v>1100</v>
      </c>
      <c r="I408" s="9">
        <v>45286</v>
      </c>
    </row>
    <row r="409" spans="1:9" x14ac:dyDescent="0.15">
      <c r="A409" s="6">
        <v>408</v>
      </c>
      <c r="B409" s="7" t="s">
        <v>9</v>
      </c>
      <c r="C409" s="8">
        <v>1883</v>
      </c>
      <c r="D409" s="9">
        <v>45395</v>
      </c>
      <c r="E409" s="13" t="str">
        <f>+HYPERLINK("http://trademark.i-assist.jp/data/china/image_1883th/76025095.pdf","76025095")</f>
        <v>76025095</v>
      </c>
      <c r="F409" s="7" t="s">
        <v>1101</v>
      </c>
      <c r="G409" s="7" t="s">
        <v>1102</v>
      </c>
      <c r="H409" s="7" t="s">
        <v>1103</v>
      </c>
      <c r="I409" s="9">
        <v>45286</v>
      </c>
    </row>
    <row r="410" spans="1:9" x14ac:dyDescent="0.15">
      <c r="A410" s="6">
        <v>409</v>
      </c>
      <c r="B410" s="7" t="s">
        <v>9</v>
      </c>
      <c r="C410" s="8">
        <v>1883</v>
      </c>
      <c r="D410" s="9">
        <v>45395</v>
      </c>
      <c r="E410" s="13" t="str">
        <f>+HYPERLINK("http://trademark.i-assist.jp/data/china/image_1883th/76028467.pdf","76028467")</f>
        <v>76028467</v>
      </c>
      <c r="F410" s="7" t="s">
        <v>1104</v>
      </c>
      <c r="G410" s="7" t="s">
        <v>1105</v>
      </c>
      <c r="H410" s="7" t="s">
        <v>1106</v>
      </c>
      <c r="I410" s="9">
        <v>45286</v>
      </c>
    </row>
    <row r="411" spans="1:9" x14ac:dyDescent="0.15">
      <c r="A411" s="6">
        <v>410</v>
      </c>
      <c r="B411" s="7" t="s">
        <v>9</v>
      </c>
      <c r="C411" s="8">
        <v>1883</v>
      </c>
      <c r="D411" s="9">
        <v>45395</v>
      </c>
      <c r="E411" s="13" t="str">
        <f>+HYPERLINK("http://trademark.i-assist.jp/data/china/image_1883th/76028603.pdf","76028603")</f>
        <v>76028603</v>
      </c>
      <c r="F411" s="7" t="s">
        <v>1107</v>
      </c>
      <c r="G411" s="7" t="s">
        <v>1108</v>
      </c>
      <c r="H411" s="7" t="s">
        <v>1109</v>
      </c>
      <c r="I411" s="9">
        <v>45286</v>
      </c>
    </row>
    <row r="412" spans="1:9" x14ac:dyDescent="0.15">
      <c r="A412" s="6">
        <v>411</v>
      </c>
      <c r="B412" s="7" t="s">
        <v>9</v>
      </c>
      <c r="C412" s="8">
        <v>1883</v>
      </c>
      <c r="D412" s="9">
        <v>45395</v>
      </c>
      <c r="E412" s="13" t="str">
        <f>+HYPERLINK("http://trademark.i-assist.jp/data/china/image_1883th/76029738.pdf","76029738")</f>
        <v>76029738</v>
      </c>
      <c r="F412" s="7" t="s">
        <v>1110</v>
      </c>
      <c r="G412" s="7" t="s">
        <v>1111</v>
      </c>
      <c r="H412" s="7" t="s">
        <v>1112</v>
      </c>
      <c r="I412" s="9">
        <v>45286</v>
      </c>
    </row>
    <row r="413" spans="1:9" x14ac:dyDescent="0.15">
      <c r="A413" s="6">
        <v>412</v>
      </c>
      <c r="B413" s="7" t="s">
        <v>9</v>
      </c>
      <c r="C413" s="8">
        <v>1883</v>
      </c>
      <c r="D413" s="9">
        <v>45395</v>
      </c>
      <c r="E413" s="13" t="str">
        <f>+HYPERLINK("http://trademark.i-assist.jp/data/china/image_1883th/76033932.pdf","76033932")</f>
        <v>76033932</v>
      </c>
      <c r="F413" s="7" t="s">
        <v>1113</v>
      </c>
      <c r="G413" s="7" t="s">
        <v>1114</v>
      </c>
      <c r="H413" s="7" t="s">
        <v>1115</v>
      </c>
      <c r="I413" s="9">
        <v>45286</v>
      </c>
    </row>
    <row r="414" spans="1:9" x14ac:dyDescent="0.15">
      <c r="A414" s="6">
        <v>413</v>
      </c>
      <c r="B414" s="7" t="s">
        <v>9</v>
      </c>
      <c r="C414" s="8">
        <v>1883</v>
      </c>
      <c r="D414" s="9">
        <v>45395</v>
      </c>
      <c r="E414" s="13" t="str">
        <f>+HYPERLINK("http://trademark.i-assist.jp/data/china/image_1883th/76034691.pdf","76034691")</f>
        <v>76034691</v>
      </c>
      <c r="F414" s="7" t="s">
        <v>1116</v>
      </c>
      <c r="G414" s="7" t="s">
        <v>1117</v>
      </c>
      <c r="H414" s="7" t="s">
        <v>1118</v>
      </c>
      <c r="I414" s="9">
        <v>45286</v>
      </c>
    </row>
    <row r="415" spans="1:9" ht="27" x14ac:dyDescent="0.15">
      <c r="A415" s="6">
        <v>414</v>
      </c>
      <c r="B415" s="7" t="s">
        <v>9</v>
      </c>
      <c r="C415" s="8">
        <v>1883</v>
      </c>
      <c r="D415" s="9">
        <v>45395</v>
      </c>
      <c r="E415" s="13" t="str">
        <f>+HYPERLINK("http://trademark.i-assist.jp/data/china/image_1883th/76034967.pdf","76034967")</f>
        <v>76034967</v>
      </c>
      <c r="F415" s="7" t="s">
        <v>1119</v>
      </c>
      <c r="G415" s="7" t="s">
        <v>1120</v>
      </c>
      <c r="H415" s="7" t="s">
        <v>1121</v>
      </c>
      <c r="I415" s="9">
        <v>45286</v>
      </c>
    </row>
    <row r="416" spans="1:9" ht="27" x14ac:dyDescent="0.15">
      <c r="A416" s="6">
        <v>415</v>
      </c>
      <c r="B416" s="7" t="s">
        <v>9</v>
      </c>
      <c r="C416" s="8">
        <v>1883</v>
      </c>
      <c r="D416" s="9">
        <v>45395</v>
      </c>
      <c r="E416" s="13" t="str">
        <f>+HYPERLINK("http://trademark.i-assist.jp/data/china/image_1883th/76035597.pdf","76035597")</f>
        <v>76035597</v>
      </c>
      <c r="F416" s="7" t="s">
        <v>1122</v>
      </c>
      <c r="G416" s="7" t="s">
        <v>1123</v>
      </c>
      <c r="H416" s="7" t="s">
        <v>1124</v>
      </c>
      <c r="I416" s="9">
        <v>45286</v>
      </c>
    </row>
    <row r="417" spans="1:9" x14ac:dyDescent="0.15">
      <c r="A417" s="6">
        <v>416</v>
      </c>
      <c r="B417" s="7" t="s">
        <v>9</v>
      </c>
      <c r="C417" s="8">
        <v>1883</v>
      </c>
      <c r="D417" s="9">
        <v>45395</v>
      </c>
      <c r="E417" s="13" t="str">
        <f>+HYPERLINK("http://trademark.i-assist.jp/data/china/image_1883th/76036839.pdf","76036839")</f>
        <v>76036839</v>
      </c>
      <c r="F417" s="7" t="s">
        <v>1125</v>
      </c>
      <c r="G417" s="7" t="s">
        <v>1126</v>
      </c>
      <c r="H417" s="7" t="s">
        <v>1127</v>
      </c>
      <c r="I417" s="9">
        <v>45286</v>
      </c>
    </row>
    <row r="418" spans="1:9" x14ac:dyDescent="0.15">
      <c r="A418" s="6">
        <v>417</v>
      </c>
      <c r="B418" s="7" t="s">
        <v>9</v>
      </c>
      <c r="C418" s="8">
        <v>1883</v>
      </c>
      <c r="D418" s="9">
        <v>45395</v>
      </c>
      <c r="E418" s="13" t="str">
        <f>+HYPERLINK("http://trademark.i-assist.jp/data/china/image_1883th/76037095.pdf","76037095")</f>
        <v>76037095</v>
      </c>
      <c r="F418" s="7" t="s">
        <v>1128</v>
      </c>
      <c r="G418" s="7" t="s">
        <v>1129</v>
      </c>
      <c r="H418" s="7" t="s">
        <v>1130</v>
      </c>
      <c r="I418" s="9">
        <v>45286</v>
      </c>
    </row>
    <row r="419" spans="1:9" ht="27" x14ac:dyDescent="0.15">
      <c r="A419" s="6">
        <v>418</v>
      </c>
      <c r="B419" s="7" t="s">
        <v>9</v>
      </c>
      <c r="C419" s="8">
        <v>1883</v>
      </c>
      <c r="D419" s="9">
        <v>45395</v>
      </c>
      <c r="E419" s="13" t="str">
        <f>+HYPERLINK("http://trademark.i-assist.jp/data/china/image_1883th/76037511.pdf","76037511")</f>
        <v>76037511</v>
      </c>
      <c r="F419" s="7" t="s">
        <v>1131</v>
      </c>
      <c r="G419" s="7" t="s">
        <v>1132</v>
      </c>
      <c r="H419" s="7" t="s">
        <v>1133</v>
      </c>
      <c r="I419" s="9">
        <v>45287</v>
      </c>
    </row>
    <row r="420" spans="1:9" x14ac:dyDescent="0.15">
      <c r="A420" s="6">
        <v>419</v>
      </c>
      <c r="B420" s="7" t="s">
        <v>9</v>
      </c>
      <c r="C420" s="8">
        <v>1883</v>
      </c>
      <c r="D420" s="9">
        <v>45395</v>
      </c>
      <c r="E420" s="13" t="str">
        <f>+HYPERLINK("http://trademark.i-assist.jp/data/china/image_1883th/76039242.pdf","76039242")</f>
        <v>76039242</v>
      </c>
      <c r="F420" s="7" t="s">
        <v>1134</v>
      </c>
      <c r="G420" s="7" t="s">
        <v>1135</v>
      </c>
      <c r="H420" s="7" t="s">
        <v>1136</v>
      </c>
      <c r="I420" s="9">
        <v>45287</v>
      </c>
    </row>
    <row r="421" spans="1:9" x14ac:dyDescent="0.15">
      <c r="A421" s="6">
        <v>420</v>
      </c>
      <c r="B421" s="7" t="s">
        <v>9</v>
      </c>
      <c r="C421" s="8">
        <v>1883</v>
      </c>
      <c r="D421" s="9">
        <v>45395</v>
      </c>
      <c r="E421" s="13" t="str">
        <f>+HYPERLINK("http://trademark.i-assist.jp/data/china/image_1883th/76042173.pdf","76042173")</f>
        <v>76042173</v>
      </c>
      <c r="F421" s="7" t="s">
        <v>57</v>
      </c>
      <c r="G421" s="7" t="s">
        <v>1137</v>
      </c>
      <c r="H421" s="7" t="s">
        <v>1138</v>
      </c>
      <c r="I421" s="9">
        <v>45287</v>
      </c>
    </row>
    <row r="422" spans="1:9" x14ac:dyDescent="0.15">
      <c r="A422" s="6">
        <v>421</v>
      </c>
      <c r="B422" s="7" t="s">
        <v>9</v>
      </c>
      <c r="C422" s="8">
        <v>1883</v>
      </c>
      <c r="D422" s="9">
        <v>45395</v>
      </c>
      <c r="E422" s="13" t="str">
        <f>+HYPERLINK("http://trademark.i-assist.jp/data/china/image_1883th/76042370.pdf","76042370")</f>
        <v>76042370</v>
      </c>
      <c r="F422" s="7" t="s">
        <v>1139</v>
      </c>
      <c r="G422" s="7" t="s">
        <v>1140</v>
      </c>
      <c r="H422" s="7" t="s">
        <v>1141</v>
      </c>
      <c r="I422" s="9">
        <v>45287</v>
      </c>
    </row>
    <row r="423" spans="1:9" x14ac:dyDescent="0.15">
      <c r="A423" s="6">
        <v>422</v>
      </c>
      <c r="B423" s="7" t="s">
        <v>9</v>
      </c>
      <c r="C423" s="8">
        <v>1883</v>
      </c>
      <c r="D423" s="9">
        <v>45395</v>
      </c>
      <c r="E423" s="13" t="str">
        <f>+HYPERLINK("http://trademark.i-assist.jp/data/china/image_1883th/76042558.pdf","76042558")</f>
        <v>76042558</v>
      </c>
      <c r="F423" s="7" t="s">
        <v>1142</v>
      </c>
      <c r="G423" s="7" t="s">
        <v>1143</v>
      </c>
      <c r="H423" s="7" t="s">
        <v>1144</v>
      </c>
      <c r="I423" s="9">
        <v>45287</v>
      </c>
    </row>
    <row r="424" spans="1:9" x14ac:dyDescent="0.15">
      <c r="A424" s="6">
        <v>423</v>
      </c>
      <c r="B424" s="7" t="s">
        <v>9</v>
      </c>
      <c r="C424" s="8">
        <v>1883</v>
      </c>
      <c r="D424" s="9">
        <v>45395</v>
      </c>
      <c r="E424" s="13" t="str">
        <f>+HYPERLINK("http://trademark.i-assist.jp/data/china/image_1883th/76044242.pdf","76044242")</f>
        <v>76044242</v>
      </c>
      <c r="F424" s="7" t="s">
        <v>1145</v>
      </c>
      <c r="G424" s="7" t="s">
        <v>1146</v>
      </c>
      <c r="H424" s="7" t="s">
        <v>1147</v>
      </c>
      <c r="I424" s="9">
        <v>45287</v>
      </c>
    </row>
    <row r="425" spans="1:9" x14ac:dyDescent="0.15">
      <c r="A425" s="6">
        <v>424</v>
      </c>
      <c r="B425" s="7" t="s">
        <v>9</v>
      </c>
      <c r="C425" s="8">
        <v>1883</v>
      </c>
      <c r="D425" s="9">
        <v>45395</v>
      </c>
      <c r="E425" s="13" t="str">
        <f>+HYPERLINK("http://trademark.i-assist.jp/data/china/image_1883th/76044928.pdf","76044928")</f>
        <v>76044928</v>
      </c>
      <c r="F425" s="7" t="s">
        <v>57</v>
      </c>
      <c r="G425" s="7" t="s">
        <v>1148</v>
      </c>
      <c r="H425" s="7" t="s">
        <v>1149</v>
      </c>
      <c r="I425" s="9">
        <v>45287</v>
      </c>
    </row>
    <row r="426" spans="1:9" x14ac:dyDescent="0.15">
      <c r="A426" s="6">
        <v>425</v>
      </c>
      <c r="B426" s="7" t="s">
        <v>9</v>
      </c>
      <c r="C426" s="8">
        <v>1883</v>
      </c>
      <c r="D426" s="9">
        <v>45395</v>
      </c>
      <c r="E426" s="13" t="str">
        <f>+HYPERLINK("http://trademark.i-assist.jp/data/china/image_1883th/76044983.pdf","76044983")</f>
        <v>76044983</v>
      </c>
      <c r="F426" s="7" t="s">
        <v>1150</v>
      </c>
      <c r="G426" s="7" t="s">
        <v>1151</v>
      </c>
      <c r="H426" s="7" t="s">
        <v>1152</v>
      </c>
      <c r="I426" s="9">
        <v>45287</v>
      </c>
    </row>
    <row r="427" spans="1:9" x14ac:dyDescent="0.15">
      <c r="A427" s="6">
        <v>426</v>
      </c>
      <c r="B427" s="7" t="s">
        <v>9</v>
      </c>
      <c r="C427" s="8">
        <v>1883</v>
      </c>
      <c r="D427" s="9">
        <v>45395</v>
      </c>
      <c r="E427" s="13" t="str">
        <f>+HYPERLINK("http://trademark.i-assist.jp/data/china/image_1883th/76048844.pdf","76048844")</f>
        <v>76048844</v>
      </c>
      <c r="F427" s="7" t="s">
        <v>1153</v>
      </c>
      <c r="G427" s="7" t="s">
        <v>1154</v>
      </c>
      <c r="H427" s="7" t="s">
        <v>1155</v>
      </c>
      <c r="I427" s="9">
        <v>45287</v>
      </c>
    </row>
    <row r="428" spans="1:9" x14ac:dyDescent="0.15">
      <c r="A428" s="6">
        <v>427</v>
      </c>
      <c r="B428" s="7" t="s">
        <v>9</v>
      </c>
      <c r="C428" s="8">
        <v>1883</v>
      </c>
      <c r="D428" s="9">
        <v>45395</v>
      </c>
      <c r="E428" s="13" t="str">
        <f>+HYPERLINK("http://trademark.i-assist.jp/data/china/image_1883th/76049514.pdf","76049514")</f>
        <v>76049514</v>
      </c>
      <c r="F428" s="7" t="s">
        <v>1156</v>
      </c>
      <c r="G428" s="7" t="s">
        <v>1157</v>
      </c>
      <c r="H428" s="7" t="s">
        <v>1158</v>
      </c>
      <c r="I428" s="9">
        <v>45287</v>
      </c>
    </row>
    <row r="429" spans="1:9" x14ac:dyDescent="0.15">
      <c r="A429" s="6">
        <v>428</v>
      </c>
      <c r="B429" s="7" t="s">
        <v>9</v>
      </c>
      <c r="C429" s="8">
        <v>1883</v>
      </c>
      <c r="D429" s="9">
        <v>45395</v>
      </c>
      <c r="E429" s="13" t="str">
        <f>+HYPERLINK("http://trademark.i-assist.jp/data/china/image_1883th/76052802.pdf","76052802")</f>
        <v>76052802</v>
      </c>
      <c r="F429" s="7" t="s">
        <v>1159</v>
      </c>
      <c r="G429" s="7" t="s">
        <v>1151</v>
      </c>
      <c r="H429" s="7" t="s">
        <v>1160</v>
      </c>
      <c r="I429" s="9">
        <v>45287</v>
      </c>
    </row>
    <row r="430" spans="1:9" x14ac:dyDescent="0.15">
      <c r="A430" s="6">
        <v>429</v>
      </c>
      <c r="B430" s="7" t="s">
        <v>9</v>
      </c>
      <c r="C430" s="8">
        <v>1883</v>
      </c>
      <c r="D430" s="9">
        <v>45395</v>
      </c>
      <c r="E430" s="13" t="str">
        <f>+HYPERLINK("http://trademark.i-assist.jp/data/china/image_1883th/76052842.pdf","76052842")</f>
        <v>76052842</v>
      </c>
      <c r="F430" s="7" t="s">
        <v>1161</v>
      </c>
      <c r="G430" s="7" t="s">
        <v>1151</v>
      </c>
      <c r="H430" s="7" t="s">
        <v>1162</v>
      </c>
      <c r="I430" s="9">
        <v>45287</v>
      </c>
    </row>
    <row r="431" spans="1:9" x14ac:dyDescent="0.15">
      <c r="A431" s="6">
        <v>430</v>
      </c>
      <c r="B431" s="7" t="s">
        <v>9</v>
      </c>
      <c r="C431" s="8">
        <v>1883</v>
      </c>
      <c r="D431" s="9">
        <v>45395</v>
      </c>
      <c r="E431" s="13" t="str">
        <f>+HYPERLINK("http://trademark.i-assist.jp/data/china/image_1883th/76053459.pdf","76053459")</f>
        <v>76053459</v>
      </c>
      <c r="F431" s="7" t="s">
        <v>1163</v>
      </c>
      <c r="G431" s="7" t="s">
        <v>1164</v>
      </c>
      <c r="H431" s="7" t="s">
        <v>1165</v>
      </c>
      <c r="I431" s="9">
        <v>45287</v>
      </c>
    </row>
    <row r="432" spans="1:9" x14ac:dyDescent="0.15">
      <c r="A432" s="6">
        <v>431</v>
      </c>
      <c r="B432" s="7" t="s">
        <v>9</v>
      </c>
      <c r="C432" s="8">
        <v>1883</v>
      </c>
      <c r="D432" s="9">
        <v>45395</v>
      </c>
      <c r="E432" s="13" t="str">
        <f>+HYPERLINK("http://trademark.i-assist.jp/data/china/image_1883th/76053814.pdf","76053814")</f>
        <v>76053814</v>
      </c>
      <c r="F432" s="7" t="s">
        <v>1166</v>
      </c>
      <c r="G432" s="7" t="s">
        <v>1167</v>
      </c>
      <c r="H432" s="7" t="s">
        <v>1168</v>
      </c>
      <c r="I432" s="9">
        <v>45287</v>
      </c>
    </row>
    <row r="433" spans="1:9" x14ac:dyDescent="0.15">
      <c r="A433" s="6">
        <v>432</v>
      </c>
      <c r="B433" s="7" t="s">
        <v>9</v>
      </c>
      <c r="C433" s="8">
        <v>1883</v>
      </c>
      <c r="D433" s="9">
        <v>45395</v>
      </c>
      <c r="E433" s="13" t="str">
        <f>+HYPERLINK("http://trademark.i-assist.jp/data/china/image_1883th/76054095.pdf","76054095")</f>
        <v>76054095</v>
      </c>
      <c r="F433" s="7" t="s">
        <v>1169</v>
      </c>
      <c r="G433" s="7" t="s">
        <v>1170</v>
      </c>
      <c r="H433" s="7" t="s">
        <v>1171</v>
      </c>
      <c r="I433" s="9">
        <v>45287</v>
      </c>
    </row>
    <row r="434" spans="1:9" x14ac:dyDescent="0.15">
      <c r="A434" s="6">
        <v>433</v>
      </c>
      <c r="B434" s="7" t="s">
        <v>9</v>
      </c>
      <c r="C434" s="8">
        <v>1883</v>
      </c>
      <c r="D434" s="9">
        <v>45395</v>
      </c>
      <c r="E434" s="13" t="str">
        <f>+HYPERLINK("http://trademark.i-assist.jp/data/china/image_1883th/76054746.pdf","76054746")</f>
        <v>76054746</v>
      </c>
      <c r="F434" s="7" t="s">
        <v>1172</v>
      </c>
      <c r="G434" s="7" t="s">
        <v>1173</v>
      </c>
      <c r="H434" s="7" t="s">
        <v>1174</v>
      </c>
      <c r="I434" s="9">
        <v>45287</v>
      </c>
    </row>
    <row r="435" spans="1:9" x14ac:dyDescent="0.15">
      <c r="A435" s="6">
        <v>434</v>
      </c>
      <c r="B435" s="7" t="s">
        <v>9</v>
      </c>
      <c r="C435" s="8">
        <v>1883</v>
      </c>
      <c r="D435" s="9">
        <v>45395</v>
      </c>
      <c r="E435" s="13" t="str">
        <f>+HYPERLINK("http://trademark.i-assist.jp/data/china/image_1883th/76055349.pdf","76055349")</f>
        <v>76055349</v>
      </c>
      <c r="F435" s="7" t="s">
        <v>1172</v>
      </c>
      <c r="G435" s="7" t="s">
        <v>1173</v>
      </c>
      <c r="H435" s="7" t="s">
        <v>1175</v>
      </c>
      <c r="I435" s="9">
        <v>45287</v>
      </c>
    </row>
    <row r="436" spans="1:9" x14ac:dyDescent="0.15">
      <c r="A436" s="6">
        <v>435</v>
      </c>
      <c r="B436" s="7" t="s">
        <v>9</v>
      </c>
      <c r="C436" s="8">
        <v>1883</v>
      </c>
      <c r="D436" s="9">
        <v>45395</v>
      </c>
      <c r="E436" s="13" t="str">
        <f>+HYPERLINK("http://trademark.i-assist.jp/data/china/image_1883th/76055562.pdf","76055562")</f>
        <v>76055562</v>
      </c>
      <c r="F436" s="7" t="s">
        <v>1176</v>
      </c>
      <c r="G436" s="7" t="s">
        <v>1177</v>
      </c>
      <c r="H436" s="7" t="s">
        <v>1178</v>
      </c>
      <c r="I436" s="9">
        <v>45287</v>
      </c>
    </row>
    <row r="437" spans="1:9" ht="27" x14ac:dyDescent="0.15">
      <c r="A437" s="6">
        <v>436</v>
      </c>
      <c r="B437" s="7" t="s">
        <v>9</v>
      </c>
      <c r="C437" s="8">
        <v>1883</v>
      </c>
      <c r="D437" s="9">
        <v>45395</v>
      </c>
      <c r="E437" s="13" t="str">
        <f>+HYPERLINK("http://trademark.i-assist.jp/data/china/image_1883th/76055991.pdf","76055991")</f>
        <v>76055991</v>
      </c>
      <c r="F437" s="7" t="s">
        <v>1179</v>
      </c>
      <c r="G437" s="7" t="s">
        <v>1180</v>
      </c>
      <c r="H437" s="7" t="s">
        <v>1181</v>
      </c>
      <c r="I437" s="9">
        <v>45287</v>
      </c>
    </row>
    <row r="438" spans="1:9" x14ac:dyDescent="0.15">
      <c r="A438" s="6">
        <v>437</v>
      </c>
      <c r="B438" s="7" t="s">
        <v>9</v>
      </c>
      <c r="C438" s="8">
        <v>1883</v>
      </c>
      <c r="D438" s="9">
        <v>45395</v>
      </c>
      <c r="E438" s="13" t="str">
        <f>+HYPERLINK("http://trademark.i-assist.jp/data/china/image_1883th/76058599.pdf","76058599")</f>
        <v>76058599</v>
      </c>
      <c r="F438" s="7" t="s">
        <v>1182</v>
      </c>
      <c r="G438" s="7" t="s">
        <v>1183</v>
      </c>
      <c r="H438" s="7" t="s">
        <v>1184</v>
      </c>
      <c r="I438" s="9">
        <v>45287</v>
      </c>
    </row>
    <row r="439" spans="1:9" x14ac:dyDescent="0.15">
      <c r="A439" s="6">
        <v>438</v>
      </c>
      <c r="B439" s="7" t="s">
        <v>9</v>
      </c>
      <c r="C439" s="8">
        <v>1883</v>
      </c>
      <c r="D439" s="9">
        <v>45395</v>
      </c>
      <c r="E439" s="13" t="str">
        <f>+HYPERLINK("http://trademark.i-assist.jp/data/china/image_1883th/76058880.pdf","76058880")</f>
        <v>76058880</v>
      </c>
      <c r="F439" s="7" t="s">
        <v>1185</v>
      </c>
      <c r="G439" s="7" t="s">
        <v>1186</v>
      </c>
      <c r="H439" s="7" t="s">
        <v>1187</v>
      </c>
      <c r="I439" s="9">
        <v>45287</v>
      </c>
    </row>
    <row r="440" spans="1:9" ht="27" x14ac:dyDescent="0.15">
      <c r="A440" s="6">
        <v>439</v>
      </c>
      <c r="B440" s="7" t="s">
        <v>9</v>
      </c>
      <c r="C440" s="8">
        <v>1883</v>
      </c>
      <c r="D440" s="9">
        <v>45395</v>
      </c>
      <c r="E440" s="13" t="str">
        <f>+HYPERLINK("http://trademark.i-assist.jp/data/china/image_1883th/76059662.pdf","76059662")</f>
        <v>76059662</v>
      </c>
      <c r="F440" s="7" t="s">
        <v>1188</v>
      </c>
      <c r="G440" s="7" t="s">
        <v>1189</v>
      </c>
      <c r="H440" s="7" t="s">
        <v>1190</v>
      </c>
      <c r="I440" s="9">
        <v>45287</v>
      </c>
    </row>
    <row r="441" spans="1:9" x14ac:dyDescent="0.15">
      <c r="A441" s="6">
        <v>440</v>
      </c>
      <c r="B441" s="7" t="s">
        <v>9</v>
      </c>
      <c r="C441" s="8">
        <v>1883</v>
      </c>
      <c r="D441" s="9">
        <v>45395</v>
      </c>
      <c r="E441" s="13" t="str">
        <f>+HYPERLINK("http://trademark.i-assist.jp/data/china/image_1883th/76060403.pdf","76060403")</f>
        <v>76060403</v>
      </c>
      <c r="F441" s="7" t="s">
        <v>1191</v>
      </c>
      <c r="G441" s="7" t="s">
        <v>1192</v>
      </c>
      <c r="H441" s="7" t="s">
        <v>1193</v>
      </c>
      <c r="I441" s="9">
        <v>45287</v>
      </c>
    </row>
    <row r="442" spans="1:9" x14ac:dyDescent="0.15">
      <c r="A442" s="6">
        <v>441</v>
      </c>
      <c r="B442" s="7" t="s">
        <v>9</v>
      </c>
      <c r="C442" s="8">
        <v>1883</v>
      </c>
      <c r="D442" s="9">
        <v>45395</v>
      </c>
      <c r="E442" s="13" t="str">
        <f>+HYPERLINK("http://trademark.i-assist.jp/data/china/image_1883th/76061358.pdf","76061358")</f>
        <v>76061358</v>
      </c>
      <c r="F442" s="7" t="s">
        <v>1194</v>
      </c>
      <c r="G442" s="7" t="s">
        <v>1195</v>
      </c>
      <c r="H442" s="7" t="s">
        <v>1196</v>
      </c>
      <c r="I442" s="9">
        <v>45287</v>
      </c>
    </row>
    <row r="443" spans="1:9" x14ac:dyDescent="0.15">
      <c r="A443" s="6">
        <v>442</v>
      </c>
      <c r="B443" s="7" t="s">
        <v>9</v>
      </c>
      <c r="C443" s="8">
        <v>1883</v>
      </c>
      <c r="D443" s="9">
        <v>45395</v>
      </c>
      <c r="E443" s="13" t="str">
        <f>+HYPERLINK("http://trademark.i-assist.jp/data/china/image_1883th/76062313.pdf","76062313")</f>
        <v>76062313</v>
      </c>
      <c r="F443" s="7" t="s">
        <v>1197</v>
      </c>
      <c r="G443" s="7" t="s">
        <v>1198</v>
      </c>
      <c r="H443" s="7" t="s">
        <v>1199</v>
      </c>
      <c r="I443" s="9">
        <v>45287</v>
      </c>
    </row>
    <row r="444" spans="1:9" x14ac:dyDescent="0.15">
      <c r="A444" s="6">
        <v>443</v>
      </c>
      <c r="B444" s="7" t="s">
        <v>9</v>
      </c>
      <c r="C444" s="8">
        <v>1883</v>
      </c>
      <c r="D444" s="9">
        <v>45395</v>
      </c>
      <c r="E444" s="13" t="str">
        <f>+HYPERLINK("http://trademark.i-assist.jp/data/china/image_1883th/76062318.pdf","76062318")</f>
        <v>76062318</v>
      </c>
      <c r="F444" s="7" t="s">
        <v>1200</v>
      </c>
      <c r="G444" s="7" t="s">
        <v>1154</v>
      </c>
      <c r="H444" s="7" t="s">
        <v>1201</v>
      </c>
      <c r="I444" s="9">
        <v>45287</v>
      </c>
    </row>
    <row r="445" spans="1:9" x14ac:dyDescent="0.15">
      <c r="A445" s="6">
        <v>444</v>
      </c>
      <c r="B445" s="7" t="s">
        <v>9</v>
      </c>
      <c r="C445" s="8">
        <v>1883</v>
      </c>
      <c r="D445" s="9">
        <v>45395</v>
      </c>
      <c r="E445" s="13" t="str">
        <f>+HYPERLINK("http://trademark.i-assist.jp/data/china/image_1883th/76062917.pdf","76062917")</f>
        <v>76062917</v>
      </c>
      <c r="F445" s="7" t="s">
        <v>1202</v>
      </c>
      <c r="G445" s="7" t="s">
        <v>1151</v>
      </c>
      <c r="H445" s="7" t="s">
        <v>1203</v>
      </c>
      <c r="I445" s="9">
        <v>45287</v>
      </c>
    </row>
    <row r="446" spans="1:9" x14ac:dyDescent="0.15">
      <c r="A446" s="6">
        <v>445</v>
      </c>
      <c r="B446" s="7" t="s">
        <v>9</v>
      </c>
      <c r="C446" s="8">
        <v>1883</v>
      </c>
      <c r="D446" s="9">
        <v>45395</v>
      </c>
      <c r="E446" s="13" t="str">
        <f>+HYPERLINK("http://trademark.i-assist.jp/data/china/image_1883th/76067054.pdf","76067054")</f>
        <v>76067054</v>
      </c>
      <c r="F446" s="7" t="s">
        <v>57</v>
      </c>
      <c r="G446" s="7" t="s">
        <v>810</v>
      </c>
      <c r="H446" s="7" t="s">
        <v>1204</v>
      </c>
      <c r="I446" s="9">
        <v>45288</v>
      </c>
    </row>
    <row r="447" spans="1:9" x14ac:dyDescent="0.15">
      <c r="A447" s="6">
        <v>446</v>
      </c>
      <c r="B447" s="7" t="s">
        <v>9</v>
      </c>
      <c r="C447" s="8">
        <v>1883</v>
      </c>
      <c r="D447" s="9">
        <v>45395</v>
      </c>
      <c r="E447" s="13" t="str">
        <f>+HYPERLINK("http://trademark.i-assist.jp/data/china/image_1883th/76067370.pdf","76067370")</f>
        <v>76067370</v>
      </c>
      <c r="F447" s="7" t="s">
        <v>1205</v>
      </c>
      <c r="G447" s="7" t="s">
        <v>1206</v>
      </c>
      <c r="H447" s="7" t="s">
        <v>1207</v>
      </c>
      <c r="I447" s="9">
        <v>45288</v>
      </c>
    </row>
    <row r="448" spans="1:9" x14ac:dyDescent="0.15">
      <c r="A448" s="6">
        <v>447</v>
      </c>
      <c r="B448" s="7" t="s">
        <v>9</v>
      </c>
      <c r="C448" s="8">
        <v>1883</v>
      </c>
      <c r="D448" s="9">
        <v>45395</v>
      </c>
      <c r="E448" s="13" t="str">
        <f>+HYPERLINK("http://trademark.i-assist.jp/data/china/image_1883th/76071858.pdf","76071858")</f>
        <v>76071858</v>
      </c>
      <c r="F448" s="7" t="s">
        <v>57</v>
      </c>
      <c r="G448" s="7" t="s">
        <v>810</v>
      </c>
      <c r="H448" s="7" t="s">
        <v>1208</v>
      </c>
      <c r="I448" s="9">
        <v>45288</v>
      </c>
    </row>
    <row r="449" spans="1:9" x14ac:dyDescent="0.15">
      <c r="A449" s="6">
        <v>448</v>
      </c>
      <c r="B449" s="7" t="s">
        <v>9</v>
      </c>
      <c r="C449" s="8">
        <v>1883</v>
      </c>
      <c r="D449" s="9">
        <v>45395</v>
      </c>
      <c r="E449" s="13" t="str">
        <f>+HYPERLINK("http://trademark.i-assist.jp/data/china/image_1883th/76071978.pdf","76071978")</f>
        <v>76071978</v>
      </c>
      <c r="F449" s="7" t="s">
        <v>57</v>
      </c>
      <c r="G449" s="7" t="s">
        <v>1209</v>
      </c>
      <c r="H449" s="7" t="s">
        <v>1210</v>
      </c>
      <c r="I449" s="9">
        <v>45288</v>
      </c>
    </row>
    <row r="450" spans="1:9" x14ac:dyDescent="0.15">
      <c r="A450" s="6">
        <v>449</v>
      </c>
      <c r="B450" s="7" t="s">
        <v>9</v>
      </c>
      <c r="C450" s="8">
        <v>1883</v>
      </c>
      <c r="D450" s="9">
        <v>45395</v>
      </c>
      <c r="E450" s="13" t="str">
        <f>+HYPERLINK("http://trademark.i-assist.jp/data/china/image_1883th/76072377.pdf","76072377")</f>
        <v>76072377</v>
      </c>
      <c r="F450" s="7" t="s">
        <v>57</v>
      </c>
      <c r="G450" s="7" t="s">
        <v>1211</v>
      </c>
      <c r="H450" s="7" t="s">
        <v>1212</v>
      </c>
      <c r="I450" s="9">
        <v>45288</v>
      </c>
    </row>
    <row r="451" spans="1:9" x14ac:dyDescent="0.15">
      <c r="A451" s="6">
        <v>450</v>
      </c>
      <c r="B451" s="7" t="s">
        <v>9</v>
      </c>
      <c r="C451" s="8">
        <v>1883</v>
      </c>
      <c r="D451" s="9">
        <v>45395</v>
      </c>
      <c r="E451" s="13" t="str">
        <f>+HYPERLINK("http://trademark.i-assist.jp/data/china/image_1883th/76072494.pdf","76072494")</f>
        <v>76072494</v>
      </c>
      <c r="F451" s="7" t="s">
        <v>1213</v>
      </c>
      <c r="G451" s="7" t="s">
        <v>1214</v>
      </c>
      <c r="H451" s="7" t="s">
        <v>1215</v>
      </c>
      <c r="I451" s="9">
        <v>45288</v>
      </c>
    </row>
    <row r="452" spans="1:9" x14ac:dyDescent="0.15">
      <c r="A452" s="6">
        <v>451</v>
      </c>
      <c r="B452" s="7" t="s">
        <v>9</v>
      </c>
      <c r="C452" s="8">
        <v>1883</v>
      </c>
      <c r="D452" s="9">
        <v>45395</v>
      </c>
      <c r="E452" s="13" t="str">
        <f>+HYPERLINK("http://trademark.i-assist.jp/data/china/image_1883th/76072521.pdf","76072521")</f>
        <v>76072521</v>
      </c>
      <c r="F452" s="7" t="s">
        <v>1216</v>
      </c>
      <c r="G452" s="7" t="s">
        <v>1217</v>
      </c>
      <c r="H452" s="7" t="s">
        <v>1218</v>
      </c>
      <c r="I452" s="9">
        <v>45288</v>
      </c>
    </row>
    <row r="453" spans="1:9" x14ac:dyDescent="0.15">
      <c r="A453" s="6">
        <v>452</v>
      </c>
      <c r="B453" s="7" t="s">
        <v>9</v>
      </c>
      <c r="C453" s="8">
        <v>1883</v>
      </c>
      <c r="D453" s="9">
        <v>45395</v>
      </c>
      <c r="E453" s="13" t="str">
        <f>+HYPERLINK("http://trademark.i-assist.jp/data/china/image_1883th/76074496.pdf","76074496")</f>
        <v>76074496</v>
      </c>
      <c r="F453" s="7" t="s">
        <v>1219</v>
      </c>
      <c r="G453" s="7" t="s">
        <v>1220</v>
      </c>
      <c r="H453" s="7" t="s">
        <v>1221</v>
      </c>
      <c r="I453" s="9">
        <v>45288</v>
      </c>
    </row>
    <row r="454" spans="1:9" x14ac:dyDescent="0.15">
      <c r="A454" s="6">
        <v>453</v>
      </c>
      <c r="B454" s="7" t="s">
        <v>9</v>
      </c>
      <c r="C454" s="8">
        <v>1883</v>
      </c>
      <c r="D454" s="9">
        <v>45395</v>
      </c>
      <c r="E454" s="13" t="str">
        <f>+HYPERLINK("http://trademark.i-assist.jp/data/china/image_1883th/76075019.pdf","76075019")</f>
        <v>76075019</v>
      </c>
      <c r="F454" s="7" t="s">
        <v>1222</v>
      </c>
      <c r="G454" s="7" t="s">
        <v>1223</v>
      </c>
      <c r="H454" s="7" t="s">
        <v>1224</v>
      </c>
      <c r="I454" s="9">
        <v>45288</v>
      </c>
    </row>
    <row r="455" spans="1:9" x14ac:dyDescent="0.15">
      <c r="A455" s="6">
        <v>454</v>
      </c>
      <c r="B455" s="7" t="s">
        <v>9</v>
      </c>
      <c r="C455" s="8">
        <v>1883</v>
      </c>
      <c r="D455" s="9">
        <v>45395</v>
      </c>
      <c r="E455" s="13" t="str">
        <f>+HYPERLINK("http://trademark.i-assist.jp/data/china/image_1883th/76075415.pdf","76075415")</f>
        <v>76075415</v>
      </c>
      <c r="F455" s="7" t="s">
        <v>1225</v>
      </c>
      <c r="G455" s="7" t="s">
        <v>1226</v>
      </c>
      <c r="H455" s="7" t="s">
        <v>1227</v>
      </c>
      <c r="I455" s="9">
        <v>45288</v>
      </c>
    </row>
    <row r="456" spans="1:9" x14ac:dyDescent="0.15">
      <c r="A456" s="6">
        <v>455</v>
      </c>
      <c r="B456" s="7" t="s">
        <v>9</v>
      </c>
      <c r="C456" s="8">
        <v>1883</v>
      </c>
      <c r="D456" s="9">
        <v>45395</v>
      </c>
      <c r="E456" s="13" t="str">
        <f>+HYPERLINK("http://trademark.i-assist.jp/data/china/image_1883th/76076625.pdf","76076625")</f>
        <v>76076625</v>
      </c>
      <c r="F456" s="7" t="s">
        <v>1228</v>
      </c>
      <c r="G456" s="7" t="s">
        <v>1229</v>
      </c>
      <c r="H456" s="7" t="s">
        <v>1230</v>
      </c>
      <c r="I456" s="9">
        <v>45288</v>
      </c>
    </row>
    <row r="457" spans="1:9" ht="27" x14ac:dyDescent="0.15">
      <c r="A457" s="6">
        <v>456</v>
      </c>
      <c r="B457" s="7" t="s">
        <v>9</v>
      </c>
      <c r="C457" s="8">
        <v>1883</v>
      </c>
      <c r="D457" s="9">
        <v>45395</v>
      </c>
      <c r="E457" s="13" t="str">
        <f>+HYPERLINK("http://trademark.i-assist.jp/data/china/image_1883th/76077950.pdf","76077950")</f>
        <v>76077950</v>
      </c>
      <c r="F457" s="7" t="s">
        <v>1231</v>
      </c>
      <c r="G457" s="7" t="s">
        <v>1232</v>
      </c>
      <c r="H457" s="7" t="s">
        <v>1233</v>
      </c>
      <c r="I457" s="9">
        <v>45288</v>
      </c>
    </row>
    <row r="458" spans="1:9" x14ac:dyDescent="0.15">
      <c r="A458" s="6">
        <v>457</v>
      </c>
      <c r="B458" s="7" t="s">
        <v>9</v>
      </c>
      <c r="C458" s="8">
        <v>1883</v>
      </c>
      <c r="D458" s="9">
        <v>45395</v>
      </c>
      <c r="E458" s="13" t="str">
        <f>+HYPERLINK("http://trademark.i-assist.jp/data/china/image_1883th/76080100.pdf","76080100")</f>
        <v>76080100</v>
      </c>
      <c r="F458" s="7" t="s">
        <v>57</v>
      </c>
      <c r="G458" s="7" t="s">
        <v>810</v>
      </c>
      <c r="H458" s="7" t="s">
        <v>1234</v>
      </c>
      <c r="I458" s="9">
        <v>45288</v>
      </c>
    </row>
    <row r="459" spans="1:9" x14ac:dyDescent="0.15">
      <c r="A459" s="6">
        <v>458</v>
      </c>
      <c r="B459" s="7" t="s">
        <v>9</v>
      </c>
      <c r="C459" s="8">
        <v>1883</v>
      </c>
      <c r="D459" s="9">
        <v>45395</v>
      </c>
      <c r="E459" s="13" t="str">
        <f>+HYPERLINK("http://trademark.i-assist.jp/data/china/image_1883th/76081748.pdf","76081748")</f>
        <v>76081748</v>
      </c>
      <c r="F459" s="7" t="s">
        <v>57</v>
      </c>
      <c r="G459" s="7" t="s">
        <v>810</v>
      </c>
      <c r="H459" s="7" t="s">
        <v>1235</v>
      </c>
      <c r="I459" s="9">
        <v>45288</v>
      </c>
    </row>
    <row r="460" spans="1:9" ht="27" x14ac:dyDescent="0.15">
      <c r="A460" s="6">
        <v>459</v>
      </c>
      <c r="B460" s="7" t="s">
        <v>9</v>
      </c>
      <c r="C460" s="8">
        <v>1883</v>
      </c>
      <c r="D460" s="9">
        <v>45395</v>
      </c>
      <c r="E460" s="13" t="str">
        <f>+HYPERLINK("http://trademark.i-assist.jp/data/china/image_1883th/76084491.pdf","76084491")</f>
        <v>76084491</v>
      </c>
      <c r="F460" s="7" t="s">
        <v>1236</v>
      </c>
      <c r="G460" s="7" t="s">
        <v>1237</v>
      </c>
      <c r="H460" s="7" t="s">
        <v>1238</v>
      </c>
      <c r="I460" s="9">
        <v>45288</v>
      </c>
    </row>
    <row r="461" spans="1:9" x14ac:dyDescent="0.15">
      <c r="A461" s="6">
        <v>460</v>
      </c>
      <c r="B461" s="7" t="s">
        <v>9</v>
      </c>
      <c r="C461" s="8">
        <v>1883</v>
      </c>
      <c r="D461" s="9">
        <v>45395</v>
      </c>
      <c r="E461" s="13" t="str">
        <f>+HYPERLINK("http://trademark.i-assist.jp/data/china/image_1883th/76084521.pdf","76084521")</f>
        <v>76084521</v>
      </c>
      <c r="F461" s="7" t="s">
        <v>1239</v>
      </c>
      <c r="G461" s="7" t="s">
        <v>1240</v>
      </c>
      <c r="H461" s="7" t="s">
        <v>1241</v>
      </c>
      <c r="I461" s="9">
        <v>45288</v>
      </c>
    </row>
    <row r="462" spans="1:9" x14ac:dyDescent="0.15">
      <c r="A462" s="6">
        <v>461</v>
      </c>
      <c r="B462" s="7" t="s">
        <v>9</v>
      </c>
      <c r="C462" s="8">
        <v>1883</v>
      </c>
      <c r="D462" s="9">
        <v>45395</v>
      </c>
      <c r="E462" s="13" t="str">
        <f>+HYPERLINK("http://trademark.i-assist.jp/data/china/image_1883th/76085701.pdf","76085701")</f>
        <v>76085701</v>
      </c>
      <c r="F462" s="7" t="s">
        <v>1242</v>
      </c>
      <c r="G462" s="7" t="s">
        <v>1243</v>
      </c>
      <c r="H462" s="7" t="s">
        <v>1244</v>
      </c>
      <c r="I462" s="9">
        <v>45288</v>
      </c>
    </row>
    <row r="463" spans="1:9" x14ac:dyDescent="0.15">
      <c r="A463" s="6">
        <v>462</v>
      </c>
      <c r="B463" s="7" t="s">
        <v>9</v>
      </c>
      <c r="C463" s="8">
        <v>1883</v>
      </c>
      <c r="D463" s="9">
        <v>45395</v>
      </c>
      <c r="E463" s="13" t="str">
        <f>+HYPERLINK("http://trademark.i-assist.jp/data/china/image_1883th/76086229.pdf","76086229")</f>
        <v>76086229</v>
      </c>
      <c r="F463" s="7" t="s">
        <v>1245</v>
      </c>
      <c r="G463" s="7" t="s">
        <v>1246</v>
      </c>
      <c r="H463" s="7" t="s">
        <v>1247</v>
      </c>
      <c r="I463" s="9">
        <v>45288</v>
      </c>
    </row>
    <row r="464" spans="1:9" x14ac:dyDescent="0.15">
      <c r="A464" s="6">
        <v>463</v>
      </c>
      <c r="B464" s="7" t="s">
        <v>9</v>
      </c>
      <c r="C464" s="8">
        <v>1883</v>
      </c>
      <c r="D464" s="9">
        <v>45395</v>
      </c>
      <c r="E464" s="13" t="str">
        <f>+HYPERLINK("http://trademark.i-assist.jp/data/china/image_1883th/76086517.pdf","76086517")</f>
        <v>76086517</v>
      </c>
      <c r="F464" s="7" t="s">
        <v>1248</v>
      </c>
      <c r="G464" s="7" t="s">
        <v>1249</v>
      </c>
      <c r="H464" s="7" t="s">
        <v>1250</v>
      </c>
      <c r="I464" s="9">
        <v>45288</v>
      </c>
    </row>
    <row r="465" spans="1:9" x14ac:dyDescent="0.15">
      <c r="A465" s="6">
        <v>464</v>
      </c>
      <c r="B465" s="7" t="s">
        <v>9</v>
      </c>
      <c r="C465" s="8">
        <v>1883</v>
      </c>
      <c r="D465" s="9">
        <v>45395</v>
      </c>
      <c r="E465" s="13" t="str">
        <f>+HYPERLINK("http://trademark.i-assist.jp/data/china/image_1883th/76086552.pdf","76086552")</f>
        <v>76086552</v>
      </c>
      <c r="F465" s="7" t="s">
        <v>1251</v>
      </c>
      <c r="G465" s="7" t="s">
        <v>1252</v>
      </c>
      <c r="H465" s="7" t="s">
        <v>1253</v>
      </c>
      <c r="I465" s="9">
        <v>45288</v>
      </c>
    </row>
    <row r="466" spans="1:9" x14ac:dyDescent="0.15">
      <c r="A466" s="6">
        <v>465</v>
      </c>
      <c r="B466" s="7" t="s">
        <v>9</v>
      </c>
      <c r="C466" s="8">
        <v>1883</v>
      </c>
      <c r="D466" s="9">
        <v>45395</v>
      </c>
      <c r="E466" s="13" t="str">
        <f>+HYPERLINK("http://trademark.i-assist.jp/data/china/image_1883th/76086607.pdf","76086607")</f>
        <v>76086607</v>
      </c>
      <c r="F466" s="7" t="s">
        <v>1254</v>
      </c>
      <c r="G466" s="7" t="s">
        <v>1255</v>
      </c>
      <c r="H466" s="7" t="s">
        <v>1256</v>
      </c>
      <c r="I466" s="9">
        <v>45288</v>
      </c>
    </row>
    <row r="467" spans="1:9" x14ac:dyDescent="0.15">
      <c r="A467" s="6">
        <v>466</v>
      </c>
      <c r="B467" s="7" t="s">
        <v>9</v>
      </c>
      <c r="C467" s="8">
        <v>1883</v>
      </c>
      <c r="D467" s="9">
        <v>45395</v>
      </c>
      <c r="E467" s="13" t="str">
        <f>+HYPERLINK("http://trademark.i-assist.jp/data/china/image_1883th/76088455.pdf","76088455")</f>
        <v>76088455</v>
      </c>
      <c r="F467" s="7" t="s">
        <v>57</v>
      </c>
      <c r="G467" s="7" t="s">
        <v>1257</v>
      </c>
      <c r="H467" s="7" t="s">
        <v>1258</v>
      </c>
      <c r="I467" s="9">
        <v>45288</v>
      </c>
    </row>
    <row r="468" spans="1:9" x14ac:dyDescent="0.15">
      <c r="A468" s="6">
        <v>467</v>
      </c>
      <c r="B468" s="7" t="s">
        <v>9</v>
      </c>
      <c r="C468" s="8">
        <v>1883</v>
      </c>
      <c r="D468" s="9">
        <v>45395</v>
      </c>
      <c r="E468" s="13" t="str">
        <f>+HYPERLINK("http://trademark.i-assist.jp/data/china/image_1883th/76088574.pdf","76088574")</f>
        <v>76088574</v>
      </c>
      <c r="F468" s="7" t="s">
        <v>57</v>
      </c>
      <c r="G468" s="7" t="s">
        <v>810</v>
      </c>
      <c r="H468" s="7" t="s">
        <v>1259</v>
      </c>
      <c r="I468" s="9">
        <v>45288</v>
      </c>
    </row>
    <row r="469" spans="1:9" ht="27" x14ac:dyDescent="0.15">
      <c r="A469" s="6">
        <v>468</v>
      </c>
      <c r="B469" s="7" t="s">
        <v>9</v>
      </c>
      <c r="C469" s="8">
        <v>1883</v>
      </c>
      <c r="D469" s="9">
        <v>45395</v>
      </c>
      <c r="E469" s="13" t="str">
        <f>+HYPERLINK("http://trademark.i-assist.jp/data/china/image_1883th/76088610.pdf","76088610")</f>
        <v>76088610</v>
      </c>
      <c r="F469" s="7" t="s">
        <v>1260</v>
      </c>
      <c r="G469" s="7" t="s">
        <v>1261</v>
      </c>
      <c r="H469" s="7" t="s">
        <v>1262</v>
      </c>
      <c r="I469" s="9">
        <v>45288</v>
      </c>
    </row>
    <row r="470" spans="1:9" ht="27" x14ac:dyDescent="0.15">
      <c r="A470" s="6">
        <v>469</v>
      </c>
      <c r="B470" s="7" t="s">
        <v>9</v>
      </c>
      <c r="C470" s="8">
        <v>1883</v>
      </c>
      <c r="D470" s="9">
        <v>45395</v>
      </c>
      <c r="E470" s="13" t="str">
        <f>+HYPERLINK("http://trademark.i-assist.jp/data/china/image_1883th/76088707.pdf","76088707")</f>
        <v>76088707</v>
      </c>
      <c r="F470" s="7" t="s">
        <v>1263</v>
      </c>
      <c r="G470" s="7" t="s">
        <v>1264</v>
      </c>
      <c r="H470" s="7" t="s">
        <v>1265</v>
      </c>
      <c r="I470" s="9">
        <v>45288</v>
      </c>
    </row>
    <row r="471" spans="1:9" x14ac:dyDescent="0.15">
      <c r="A471" s="6">
        <v>470</v>
      </c>
      <c r="B471" s="7" t="s">
        <v>9</v>
      </c>
      <c r="C471" s="8">
        <v>1883</v>
      </c>
      <c r="D471" s="9">
        <v>45395</v>
      </c>
      <c r="E471" s="13" t="str">
        <f>+HYPERLINK("http://trademark.i-assist.jp/data/china/image_1883th/76089570.pdf","76089570")</f>
        <v>76089570</v>
      </c>
      <c r="F471" s="7" t="s">
        <v>1266</v>
      </c>
      <c r="G471" s="7" t="s">
        <v>1267</v>
      </c>
      <c r="H471" s="7" t="s">
        <v>1268</v>
      </c>
      <c r="I471" s="9">
        <v>45288</v>
      </c>
    </row>
    <row r="472" spans="1:9" ht="27" x14ac:dyDescent="0.15">
      <c r="A472" s="6">
        <v>471</v>
      </c>
      <c r="B472" s="7" t="s">
        <v>9</v>
      </c>
      <c r="C472" s="8">
        <v>1883</v>
      </c>
      <c r="D472" s="9">
        <v>45395</v>
      </c>
      <c r="E472" s="13" t="str">
        <f>+HYPERLINK("http://trademark.i-assist.jp/data/china/image_1883th/76090150.pdf","76090150")</f>
        <v>76090150</v>
      </c>
      <c r="F472" s="7" t="s">
        <v>1269</v>
      </c>
      <c r="G472" s="7" t="s">
        <v>1270</v>
      </c>
      <c r="H472" s="7" t="s">
        <v>1271</v>
      </c>
      <c r="I472" s="9">
        <v>45288</v>
      </c>
    </row>
    <row r="473" spans="1:9" x14ac:dyDescent="0.15">
      <c r="A473" s="6">
        <v>472</v>
      </c>
      <c r="B473" s="7" t="s">
        <v>9</v>
      </c>
      <c r="C473" s="8">
        <v>1883</v>
      </c>
      <c r="D473" s="9">
        <v>45395</v>
      </c>
      <c r="E473" s="13" t="str">
        <f>+HYPERLINK("http://trademark.i-assist.jp/data/china/image_1883th/76090226.pdf","76090226")</f>
        <v>76090226</v>
      </c>
      <c r="F473" s="7" t="s">
        <v>1272</v>
      </c>
      <c r="G473" s="7" t="s">
        <v>1273</v>
      </c>
      <c r="H473" s="7" t="s">
        <v>1274</v>
      </c>
      <c r="I473" s="9">
        <v>45288</v>
      </c>
    </row>
    <row r="474" spans="1:9" x14ac:dyDescent="0.15">
      <c r="A474" s="6">
        <v>473</v>
      </c>
      <c r="B474" s="7" t="s">
        <v>9</v>
      </c>
      <c r="C474" s="8">
        <v>1883</v>
      </c>
      <c r="D474" s="9">
        <v>45395</v>
      </c>
      <c r="E474" s="13" t="str">
        <f>+HYPERLINK("http://trademark.i-assist.jp/data/china/image_1883th/76090900A.pdf","76090900A")</f>
        <v>76090900A</v>
      </c>
      <c r="F474" s="7" t="s">
        <v>1275</v>
      </c>
      <c r="G474" s="7" t="s">
        <v>1276</v>
      </c>
      <c r="H474" s="7" t="s">
        <v>1277</v>
      </c>
      <c r="I474" s="9">
        <v>45288</v>
      </c>
    </row>
    <row r="475" spans="1:9" ht="27" x14ac:dyDescent="0.15">
      <c r="A475" s="6">
        <v>474</v>
      </c>
      <c r="B475" s="7" t="s">
        <v>9</v>
      </c>
      <c r="C475" s="8">
        <v>1883</v>
      </c>
      <c r="D475" s="9">
        <v>45395</v>
      </c>
      <c r="E475" s="13" t="str">
        <f>+HYPERLINK("http://trademark.i-assist.jp/data/china/image_1883th/76091717.pdf","76091717")</f>
        <v>76091717</v>
      </c>
      <c r="F475" s="7" t="s">
        <v>1278</v>
      </c>
      <c r="G475" s="7" t="s">
        <v>1279</v>
      </c>
      <c r="H475" s="7" t="s">
        <v>1280</v>
      </c>
      <c r="I475" s="9">
        <v>45289</v>
      </c>
    </row>
    <row r="476" spans="1:9" x14ac:dyDescent="0.15">
      <c r="A476" s="6">
        <v>475</v>
      </c>
      <c r="B476" s="7" t="s">
        <v>9</v>
      </c>
      <c r="C476" s="8">
        <v>1883</v>
      </c>
      <c r="D476" s="9">
        <v>45395</v>
      </c>
      <c r="E476" s="13" t="str">
        <f>+HYPERLINK("http://trademark.i-assist.jp/data/china/image_1883th/76091865.pdf","76091865")</f>
        <v>76091865</v>
      </c>
      <c r="F476" s="7" t="s">
        <v>1281</v>
      </c>
      <c r="G476" s="7" t="s">
        <v>1282</v>
      </c>
      <c r="H476" s="7" t="s">
        <v>1283</v>
      </c>
      <c r="I476" s="9">
        <v>45289</v>
      </c>
    </row>
    <row r="477" spans="1:9" ht="27" x14ac:dyDescent="0.15">
      <c r="A477" s="6">
        <v>476</v>
      </c>
      <c r="B477" s="7" t="s">
        <v>9</v>
      </c>
      <c r="C477" s="8">
        <v>1883</v>
      </c>
      <c r="D477" s="9">
        <v>45395</v>
      </c>
      <c r="E477" s="13" t="str">
        <f>+HYPERLINK("http://trademark.i-assist.jp/data/china/image_1883th/76092076.pdf","76092076")</f>
        <v>76092076</v>
      </c>
      <c r="F477" s="7" t="s">
        <v>57</v>
      </c>
      <c r="G477" s="7" t="s">
        <v>1284</v>
      </c>
      <c r="H477" s="7" t="s">
        <v>1285</v>
      </c>
      <c r="I477" s="9">
        <v>45289</v>
      </c>
    </row>
    <row r="478" spans="1:9" x14ac:dyDescent="0.15">
      <c r="A478" s="6">
        <v>477</v>
      </c>
      <c r="B478" s="7" t="s">
        <v>9</v>
      </c>
      <c r="C478" s="8">
        <v>1883</v>
      </c>
      <c r="D478" s="9">
        <v>45395</v>
      </c>
      <c r="E478" s="13" t="str">
        <f>+HYPERLINK("http://trademark.i-assist.jp/data/china/image_1883th/76092884.pdf","76092884")</f>
        <v>76092884</v>
      </c>
      <c r="F478" s="7" t="s">
        <v>1286</v>
      </c>
      <c r="G478" s="7" t="s">
        <v>1287</v>
      </c>
      <c r="H478" s="7" t="s">
        <v>1288</v>
      </c>
      <c r="I478" s="9">
        <v>45289</v>
      </c>
    </row>
    <row r="479" spans="1:9" ht="27" x14ac:dyDescent="0.15">
      <c r="A479" s="6">
        <v>478</v>
      </c>
      <c r="B479" s="7" t="s">
        <v>9</v>
      </c>
      <c r="C479" s="8">
        <v>1883</v>
      </c>
      <c r="D479" s="9">
        <v>45395</v>
      </c>
      <c r="E479" s="13" t="str">
        <f>+HYPERLINK("http://trademark.i-assist.jp/data/china/image_1883th/76092933.pdf","76092933")</f>
        <v>76092933</v>
      </c>
      <c r="F479" s="7" t="s">
        <v>1289</v>
      </c>
      <c r="G479" s="7" t="s">
        <v>1290</v>
      </c>
      <c r="H479" s="7" t="s">
        <v>1291</v>
      </c>
      <c r="I479" s="9">
        <v>45289</v>
      </c>
    </row>
    <row r="480" spans="1:9" x14ac:dyDescent="0.15">
      <c r="A480" s="6">
        <v>479</v>
      </c>
      <c r="B480" s="7" t="s">
        <v>9</v>
      </c>
      <c r="C480" s="8">
        <v>1883</v>
      </c>
      <c r="D480" s="9">
        <v>45395</v>
      </c>
      <c r="E480" s="13" t="str">
        <f>+HYPERLINK("http://trademark.i-assist.jp/data/china/image_1883th/76093439.pdf","76093439")</f>
        <v>76093439</v>
      </c>
      <c r="F480" s="7" t="s">
        <v>1292</v>
      </c>
      <c r="G480" s="7" t="s">
        <v>1293</v>
      </c>
      <c r="H480" s="7" t="s">
        <v>1294</v>
      </c>
      <c r="I480" s="9">
        <v>45289</v>
      </c>
    </row>
    <row r="481" spans="1:9" x14ac:dyDescent="0.15">
      <c r="A481" s="6">
        <v>480</v>
      </c>
      <c r="B481" s="7" t="s">
        <v>9</v>
      </c>
      <c r="C481" s="8">
        <v>1883</v>
      </c>
      <c r="D481" s="9">
        <v>45395</v>
      </c>
      <c r="E481" s="13" t="str">
        <f>+HYPERLINK("http://trademark.i-assist.jp/data/china/image_1883th/76093440.pdf","76093440")</f>
        <v>76093440</v>
      </c>
      <c r="F481" s="7" t="s">
        <v>1295</v>
      </c>
      <c r="G481" s="7" t="s">
        <v>1296</v>
      </c>
      <c r="H481" s="7" t="s">
        <v>1297</v>
      </c>
      <c r="I481" s="9">
        <v>45289</v>
      </c>
    </row>
    <row r="482" spans="1:9" ht="27" x14ac:dyDescent="0.15">
      <c r="A482" s="6">
        <v>481</v>
      </c>
      <c r="B482" s="7" t="s">
        <v>9</v>
      </c>
      <c r="C482" s="8">
        <v>1883</v>
      </c>
      <c r="D482" s="9">
        <v>45395</v>
      </c>
      <c r="E482" s="13" t="str">
        <f>+HYPERLINK("http://trademark.i-assist.jp/data/china/image_1883th/76094801.pdf","76094801")</f>
        <v>76094801</v>
      </c>
      <c r="F482" s="7" t="s">
        <v>1298</v>
      </c>
      <c r="G482" s="7" t="s">
        <v>1299</v>
      </c>
      <c r="H482" s="7" t="s">
        <v>1300</v>
      </c>
      <c r="I482" s="9">
        <v>45289</v>
      </c>
    </row>
    <row r="483" spans="1:9" x14ac:dyDescent="0.15">
      <c r="A483" s="6">
        <v>482</v>
      </c>
      <c r="B483" s="7" t="s">
        <v>9</v>
      </c>
      <c r="C483" s="8">
        <v>1883</v>
      </c>
      <c r="D483" s="9">
        <v>45395</v>
      </c>
      <c r="E483" s="13" t="str">
        <f>+HYPERLINK("http://trademark.i-assist.jp/data/china/image_1883th/76094939.pdf","76094939")</f>
        <v>76094939</v>
      </c>
      <c r="F483" s="7" t="s">
        <v>1301</v>
      </c>
      <c r="G483" s="7" t="s">
        <v>1302</v>
      </c>
      <c r="H483" s="7" t="s">
        <v>1303</v>
      </c>
      <c r="I483" s="9">
        <v>45289</v>
      </c>
    </row>
    <row r="484" spans="1:9" x14ac:dyDescent="0.15">
      <c r="A484" s="6">
        <v>483</v>
      </c>
      <c r="B484" s="7" t="s">
        <v>9</v>
      </c>
      <c r="C484" s="8">
        <v>1883</v>
      </c>
      <c r="D484" s="9">
        <v>45395</v>
      </c>
      <c r="E484" s="13" t="str">
        <f>+HYPERLINK("http://trademark.i-assist.jp/data/china/image_1883th/76095579.pdf","76095579")</f>
        <v>76095579</v>
      </c>
      <c r="F484" s="7" t="s">
        <v>1304</v>
      </c>
      <c r="G484" s="7" t="s">
        <v>1305</v>
      </c>
      <c r="H484" s="7" t="s">
        <v>1306</v>
      </c>
      <c r="I484" s="9">
        <v>45289</v>
      </c>
    </row>
    <row r="485" spans="1:9" x14ac:dyDescent="0.15">
      <c r="A485" s="6">
        <v>484</v>
      </c>
      <c r="B485" s="7" t="s">
        <v>9</v>
      </c>
      <c r="C485" s="8">
        <v>1883</v>
      </c>
      <c r="D485" s="9">
        <v>45395</v>
      </c>
      <c r="E485" s="13" t="str">
        <f>+HYPERLINK("http://trademark.i-assist.jp/data/china/image_1883th/76095837.pdf","76095837")</f>
        <v>76095837</v>
      </c>
      <c r="F485" s="7" t="s">
        <v>1307</v>
      </c>
      <c r="G485" s="7" t="s">
        <v>1308</v>
      </c>
      <c r="H485" s="7" t="s">
        <v>1309</v>
      </c>
      <c r="I485" s="9">
        <v>45289</v>
      </c>
    </row>
    <row r="486" spans="1:9" ht="27" x14ac:dyDescent="0.15">
      <c r="A486" s="6">
        <v>485</v>
      </c>
      <c r="B486" s="7" t="s">
        <v>9</v>
      </c>
      <c r="C486" s="8">
        <v>1883</v>
      </c>
      <c r="D486" s="9">
        <v>45395</v>
      </c>
      <c r="E486" s="13" t="str">
        <f>+HYPERLINK("http://trademark.i-assist.jp/data/china/image_1883th/76096006.pdf","76096006")</f>
        <v>76096006</v>
      </c>
      <c r="F486" s="7" t="s">
        <v>1310</v>
      </c>
      <c r="G486" s="7" t="s">
        <v>916</v>
      </c>
      <c r="H486" s="7" t="s">
        <v>1311</v>
      </c>
      <c r="I486" s="9">
        <v>45289</v>
      </c>
    </row>
    <row r="487" spans="1:9" x14ac:dyDescent="0.15">
      <c r="A487" s="6">
        <v>486</v>
      </c>
      <c r="B487" s="7" t="s">
        <v>9</v>
      </c>
      <c r="C487" s="8">
        <v>1883</v>
      </c>
      <c r="D487" s="9">
        <v>45395</v>
      </c>
      <c r="E487" s="13" t="str">
        <f>+HYPERLINK("http://trademark.i-assist.jp/data/china/image_1883th/76096426.pdf","76096426")</f>
        <v>76096426</v>
      </c>
      <c r="F487" s="7" t="s">
        <v>1312</v>
      </c>
      <c r="G487" s="7" t="s">
        <v>1313</v>
      </c>
      <c r="H487" s="7" t="s">
        <v>1314</v>
      </c>
      <c r="I487" s="9">
        <v>45289</v>
      </c>
    </row>
    <row r="488" spans="1:9" x14ac:dyDescent="0.15">
      <c r="A488" s="6">
        <v>487</v>
      </c>
      <c r="B488" s="7" t="s">
        <v>9</v>
      </c>
      <c r="C488" s="8">
        <v>1883</v>
      </c>
      <c r="D488" s="9">
        <v>45395</v>
      </c>
      <c r="E488" s="13" t="str">
        <f>+HYPERLINK("http://trademark.i-assist.jp/data/china/image_1883th/76097574.pdf","76097574")</f>
        <v>76097574</v>
      </c>
      <c r="F488" s="7" t="s">
        <v>1315</v>
      </c>
      <c r="G488" s="7" t="s">
        <v>1316</v>
      </c>
      <c r="H488" s="7" t="s">
        <v>1317</v>
      </c>
      <c r="I488" s="9">
        <v>45289</v>
      </c>
    </row>
    <row r="489" spans="1:9" x14ac:dyDescent="0.15">
      <c r="A489" s="6">
        <v>488</v>
      </c>
      <c r="B489" s="7" t="s">
        <v>9</v>
      </c>
      <c r="C489" s="8">
        <v>1883</v>
      </c>
      <c r="D489" s="9">
        <v>45395</v>
      </c>
      <c r="E489" s="13" t="str">
        <f>+HYPERLINK("http://trademark.i-assist.jp/data/china/image_1883th/76098556.pdf","76098556")</f>
        <v>76098556</v>
      </c>
      <c r="F489" s="7" t="s">
        <v>1318</v>
      </c>
      <c r="G489" s="7" t="s">
        <v>1319</v>
      </c>
      <c r="H489" s="7" t="s">
        <v>1320</v>
      </c>
      <c r="I489" s="9">
        <v>45289</v>
      </c>
    </row>
    <row r="490" spans="1:9" x14ac:dyDescent="0.15">
      <c r="A490" s="6">
        <v>489</v>
      </c>
      <c r="B490" s="7" t="s">
        <v>9</v>
      </c>
      <c r="C490" s="8">
        <v>1883</v>
      </c>
      <c r="D490" s="9">
        <v>45395</v>
      </c>
      <c r="E490" s="13" t="str">
        <f>+HYPERLINK("http://trademark.i-assist.jp/data/china/image_1883th/76098807.pdf","76098807")</f>
        <v>76098807</v>
      </c>
      <c r="F490" s="7" t="s">
        <v>1321</v>
      </c>
      <c r="G490" s="7" t="s">
        <v>1322</v>
      </c>
      <c r="H490" s="7" t="s">
        <v>1323</v>
      </c>
      <c r="I490" s="9">
        <v>45289</v>
      </c>
    </row>
    <row r="491" spans="1:9" x14ac:dyDescent="0.15">
      <c r="A491" s="6">
        <v>490</v>
      </c>
      <c r="B491" s="7" t="s">
        <v>9</v>
      </c>
      <c r="C491" s="8">
        <v>1883</v>
      </c>
      <c r="D491" s="9">
        <v>45395</v>
      </c>
      <c r="E491" s="13" t="str">
        <f>+HYPERLINK("http://trademark.i-assist.jp/data/china/image_1883th/76099318.pdf","76099318")</f>
        <v>76099318</v>
      </c>
      <c r="F491" s="7" t="s">
        <v>1324</v>
      </c>
      <c r="G491" s="7" t="s">
        <v>1325</v>
      </c>
      <c r="H491" s="7" t="s">
        <v>1326</v>
      </c>
      <c r="I491" s="9">
        <v>45289</v>
      </c>
    </row>
    <row r="492" spans="1:9" x14ac:dyDescent="0.15">
      <c r="A492" s="6">
        <v>491</v>
      </c>
      <c r="B492" s="7" t="s">
        <v>9</v>
      </c>
      <c r="C492" s="8">
        <v>1883</v>
      </c>
      <c r="D492" s="9">
        <v>45395</v>
      </c>
      <c r="E492" s="13" t="str">
        <f>+HYPERLINK("http://trademark.i-assist.jp/data/china/image_1883th/76101656.pdf","76101656")</f>
        <v>76101656</v>
      </c>
      <c r="F492" s="7" t="s">
        <v>1327</v>
      </c>
      <c r="G492" s="7" t="s">
        <v>916</v>
      </c>
      <c r="H492" s="7" t="s">
        <v>1328</v>
      </c>
      <c r="I492" s="9">
        <v>45289</v>
      </c>
    </row>
    <row r="493" spans="1:9" ht="27" x14ac:dyDescent="0.15">
      <c r="A493" s="6">
        <v>492</v>
      </c>
      <c r="B493" s="7" t="s">
        <v>9</v>
      </c>
      <c r="C493" s="8">
        <v>1883</v>
      </c>
      <c r="D493" s="9">
        <v>45395</v>
      </c>
      <c r="E493" s="13" t="str">
        <f>+HYPERLINK("http://trademark.i-assist.jp/data/china/image_1883th/76102580.pdf","76102580")</f>
        <v>76102580</v>
      </c>
      <c r="F493" s="7" t="s">
        <v>1329</v>
      </c>
      <c r="G493" s="7" t="s">
        <v>1299</v>
      </c>
      <c r="H493" s="7" t="s">
        <v>1330</v>
      </c>
      <c r="I493" s="9">
        <v>45289</v>
      </c>
    </row>
    <row r="494" spans="1:9" x14ac:dyDescent="0.15">
      <c r="A494" s="6">
        <v>493</v>
      </c>
      <c r="B494" s="7" t="s">
        <v>9</v>
      </c>
      <c r="C494" s="8">
        <v>1883</v>
      </c>
      <c r="D494" s="9">
        <v>45395</v>
      </c>
      <c r="E494" s="13" t="str">
        <f>+HYPERLINK("http://trademark.i-assist.jp/data/china/image_1883th/76102684.pdf","76102684")</f>
        <v>76102684</v>
      </c>
      <c r="F494" s="7" t="s">
        <v>1331</v>
      </c>
      <c r="G494" s="7" t="s">
        <v>1332</v>
      </c>
      <c r="H494" s="7" t="s">
        <v>1333</v>
      </c>
      <c r="I494" s="9">
        <v>45289</v>
      </c>
    </row>
    <row r="495" spans="1:9" ht="27" x14ac:dyDescent="0.15">
      <c r="A495" s="6">
        <v>494</v>
      </c>
      <c r="B495" s="7" t="s">
        <v>9</v>
      </c>
      <c r="C495" s="8">
        <v>1883</v>
      </c>
      <c r="D495" s="9">
        <v>45395</v>
      </c>
      <c r="E495" s="13" t="str">
        <f>+HYPERLINK("http://trademark.i-assist.jp/data/china/image_1883th/76105818.pdf","76105818")</f>
        <v>76105818</v>
      </c>
      <c r="F495" s="7" t="s">
        <v>1334</v>
      </c>
      <c r="G495" s="7" t="s">
        <v>916</v>
      </c>
      <c r="H495" s="7" t="s">
        <v>1335</v>
      </c>
      <c r="I495" s="9">
        <v>45289</v>
      </c>
    </row>
    <row r="496" spans="1:9" x14ac:dyDescent="0.15">
      <c r="A496" s="6">
        <v>495</v>
      </c>
      <c r="B496" s="7" t="s">
        <v>9</v>
      </c>
      <c r="C496" s="8">
        <v>1883</v>
      </c>
      <c r="D496" s="9">
        <v>45395</v>
      </c>
      <c r="E496" s="13" t="str">
        <f>+HYPERLINK("http://trademark.i-assist.jp/data/china/image_1883th/76105925.pdf","76105925")</f>
        <v>76105925</v>
      </c>
      <c r="F496" s="7" t="s">
        <v>1336</v>
      </c>
      <c r="G496" s="7" t="s">
        <v>1337</v>
      </c>
      <c r="H496" s="7" t="s">
        <v>1338</v>
      </c>
      <c r="I496" s="9">
        <v>45289</v>
      </c>
    </row>
    <row r="497" spans="1:9" ht="27" x14ac:dyDescent="0.15">
      <c r="A497" s="6">
        <v>496</v>
      </c>
      <c r="B497" s="7" t="s">
        <v>9</v>
      </c>
      <c r="C497" s="8">
        <v>1883</v>
      </c>
      <c r="D497" s="9">
        <v>45395</v>
      </c>
      <c r="E497" s="13" t="str">
        <f>+HYPERLINK("http://trademark.i-assist.jp/data/china/image_1883th/76106192.pdf","76106192")</f>
        <v>76106192</v>
      </c>
      <c r="F497" s="7" t="s">
        <v>1339</v>
      </c>
      <c r="G497" s="7" t="s">
        <v>1340</v>
      </c>
      <c r="H497" s="7" t="s">
        <v>1341</v>
      </c>
      <c r="I497" s="9">
        <v>45289</v>
      </c>
    </row>
    <row r="498" spans="1:9" x14ac:dyDescent="0.15">
      <c r="A498" s="6">
        <v>497</v>
      </c>
      <c r="B498" s="7" t="s">
        <v>9</v>
      </c>
      <c r="C498" s="8">
        <v>1883</v>
      </c>
      <c r="D498" s="9">
        <v>45395</v>
      </c>
      <c r="E498" s="13" t="str">
        <f>+HYPERLINK("http://trademark.i-assist.jp/data/china/image_1883th/76106395.pdf","76106395")</f>
        <v>76106395</v>
      </c>
      <c r="F498" s="7" t="s">
        <v>1342</v>
      </c>
      <c r="G498" s="7" t="s">
        <v>1343</v>
      </c>
      <c r="H498" s="7" t="s">
        <v>1344</v>
      </c>
      <c r="I498" s="9">
        <v>45289</v>
      </c>
    </row>
    <row r="499" spans="1:9" ht="27" x14ac:dyDescent="0.15">
      <c r="A499" s="6">
        <v>498</v>
      </c>
      <c r="B499" s="7" t="s">
        <v>9</v>
      </c>
      <c r="C499" s="8">
        <v>1883</v>
      </c>
      <c r="D499" s="9">
        <v>45395</v>
      </c>
      <c r="E499" s="13" t="str">
        <f>+HYPERLINK("http://trademark.i-assist.jp/data/china/image_1883th/76106809.pdf","76106809")</f>
        <v>76106809</v>
      </c>
      <c r="F499" s="7" t="s">
        <v>1345</v>
      </c>
      <c r="G499" s="7" t="s">
        <v>916</v>
      </c>
      <c r="H499" s="7" t="s">
        <v>1346</v>
      </c>
      <c r="I499" s="9">
        <v>45289</v>
      </c>
    </row>
    <row r="500" spans="1:9" ht="27" x14ac:dyDescent="0.15">
      <c r="A500" s="6">
        <v>499</v>
      </c>
      <c r="B500" s="7" t="s">
        <v>9</v>
      </c>
      <c r="C500" s="8">
        <v>1883</v>
      </c>
      <c r="D500" s="9">
        <v>45395</v>
      </c>
      <c r="E500" s="13" t="str">
        <f>+HYPERLINK("http://trademark.i-assist.jp/data/china/image_1883th/76107536.pdf","76107536")</f>
        <v>76107536</v>
      </c>
      <c r="F500" s="7" t="s">
        <v>1347</v>
      </c>
      <c r="G500" s="7" t="s">
        <v>1348</v>
      </c>
      <c r="H500" s="7" t="s">
        <v>1349</v>
      </c>
      <c r="I500" s="9">
        <v>45289</v>
      </c>
    </row>
    <row r="501" spans="1:9" ht="27" x14ac:dyDescent="0.15">
      <c r="A501" s="6">
        <v>500</v>
      </c>
      <c r="B501" s="7" t="s">
        <v>9</v>
      </c>
      <c r="C501" s="8">
        <v>1883</v>
      </c>
      <c r="D501" s="9">
        <v>45395</v>
      </c>
      <c r="E501" s="13" t="str">
        <f>+HYPERLINK("http://trademark.i-assist.jp/data/china/image_1883th/76107673.pdf","76107673")</f>
        <v>76107673</v>
      </c>
      <c r="F501" s="7" t="s">
        <v>1350</v>
      </c>
      <c r="G501" s="7" t="s">
        <v>1299</v>
      </c>
      <c r="H501" s="7" t="s">
        <v>1351</v>
      </c>
      <c r="I501" s="9">
        <v>45289</v>
      </c>
    </row>
    <row r="502" spans="1:9" x14ac:dyDescent="0.15">
      <c r="A502" s="6">
        <v>501</v>
      </c>
      <c r="B502" s="7" t="s">
        <v>9</v>
      </c>
      <c r="C502" s="8">
        <v>1883</v>
      </c>
      <c r="D502" s="9">
        <v>45395</v>
      </c>
      <c r="E502" s="13" t="str">
        <f>+HYPERLINK("http://trademark.i-assist.jp/data/china/image_1883th/76108199.pdf","76108199")</f>
        <v>76108199</v>
      </c>
      <c r="F502" s="7" t="s">
        <v>1352</v>
      </c>
      <c r="G502" s="7" t="s">
        <v>1353</v>
      </c>
      <c r="H502" s="7" t="s">
        <v>1354</v>
      </c>
      <c r="I502" s="9">
        <v>45289</v>
      </c>
    </row>
    <row r="503" spans="1:9" x14ac:dyDescent="0.15">
      <c r="A503" s="6">
        <v>502</v>
      </c>
      <c r="B503" s="7" t="s">
        <v>9</v>
      </c>
      <c r="C503" s="8">
        <v>1883</v>
      </c>
      <c r="D503" s="9">
        <v>45395</v>
      </c>
      <c r="E503" s="13" t="str">
        <f>+HYPERLINK("http://trademark.i-assist.jp/data/china/image_1883th/76108233.pdf","76108233")</f>
        <v>76108233</v>
      </c>
      <c r="F503" s="7" t="s">
        <v>1355</v>
      </c>
      <c r="G503" s="7" t="s">
        <v>1356</v>
      </c>
      <c r="H503" s="7" t="s">
        <v>1357</v>
      </c>
      <c r="I503" s="9">
        <v>45289</v>
      </c>
    </row>
    <row r="504" spans="1:9" ht="27" x14ac:dyDescent="0.15">
      <c r="A504" s="6">
        <v>503</v>
      </c>
      <c r="B504" s="7" t="s">
        <v>9</v>
      </c>
      <c r="C504" s="8">
        <v>1883</v>
      </c>
      <c r="D504" s="9">
        <v>45395</v>
      </c>
      <c r="E504" s="13" t="str">
        <f>+HYPERLINK("http://trademark.i-assist.jp/data/china/image_1883th/76108363.pdf","76108363")</f>
        <v>76108363</v>
      </c>
      <c r="F504" s="7" t="s">
        <v>1358</v>
      </c>
      <c r="G504" s="7" t="s">
        <v>916</v>
      </c>
      <c r="H504" s="7" t="s">
        <v>1359</v>
      </c>
      <c r="I504" s="9">
        <v>45289</v>
      </c>
    </row>
    <row r="505" spans="1:9" x14ac:dyDescent="0.15">
      <c r="A505" s="6">
        <v>504</v>
      </c>
      <c r="B505" s="7" t="s">
        <v>9</v>
      </c>
      <c r="C505" s="8">
        <v>1883</v>
      </c>
      <c r="D505" s="9">
        <v>45395</v>
      </c>
      <c r="E505" s="13" t="str">
        <f>+HYPERLINK("http://trademark.i-assist.jp/data/china/image_1883th/76108628.pdf","76108628")</f>
        <v>76108628</v>
      </c>
      <c r="F505" s="7" t="s">
        <v>1360</v>
      </c>
      <c r="G505" s="7" t="s">
        <v>1361</v>
      </c>
      <c r="H505" s="7" t="s">
        <v>1362</v>
      </c>
      <c r="I505" s="9">
        <v>45289</v>
      </c>
    </row>
    <row r="506" spans="1:9" x14ac:dyDescent="0.15">
      <c r="A506" s="6">
        <v>505</v>
      </c>
      <c r="B506" s="7" t="s">
        <v>9</v>
      </c>
      <c r="C506" s="8">
        <v>1883</v>
      </c>
      <c r="D506" s="9">
        <v>45395</v>
      </c>
      <c r="E506" s="13" t="str">
        <f>+HYPERLINK("http://trademark.i-assist.jp/data/china/image_1883th/76109042.pdf","76109042")</f>
        <v>76109042</v>
      </c>
      <c r="F506" s="7" t="s">
        <v>1363</v>
      </c>
      <c r="G506" s="7" t="s">
        <v>1364</v>
      </c>
      <c r="H506" s="7" t="s">
        <v>1365</v>
      </c>
      <c r="I506" s="9">
        <v>45289</v>
      </c>
    </row>
    <row r="507" spans="1:9" x14ac:dyDescent="0.15">
      <c r="A507" s="6">
        <v>506</v>
      </c>
      <c r="B507" s="7" t="s">
        <v>9</v>
      </c>
      <c r="C507" s="8">
        <v>1883</v>
      </c>
      <c r="D507" s="9">
        <v>45395</v>
      </c>
      <c r="E507" s="13" t="str">
        <f>+HYPERLINK("http://trademark.i-assist.jp/data/china/image_1883th/76109045.pdf","76109045")</f>
        <v>76109045</v>
      </c>
      <c r="F507" s="7" t="s">
        <v>1366</v>
      </c>
      <c r="G507" s="7" t="s">
        <v>1367</v>
      </c>
      <c r="H507" s="7" t="s">
        <v>1368</v>
      </c>
      <c r="I507" s="9">
        <v>45289</v>
      </c>
    </row>
    <row r="508" spans="1:9" ht="27" x14ac:dyDescent="0.15">
      <c r="A508" s="6">
        <v>507</v>
      </c>
      <c r="B508" s="7" t="s">
        <v>9</v>
      </c>
      <c r="C508" s="8">
        <v>1883</v>
      </c>
      <c r="D508" s="9">
        <v>45395</v>
      </c>
      <c r="E508" s="13" t="str">
        <f>+HYPERLINK("http://trademark.i-assist.jp/data/china/image_1883th/76109176.pdf","76109176")</f>
        <v>76109176</v>
      </c>
      <c r="F508" s="7" t="s">
        <v>1369</v>
      </c>
      <c r="G508" s="7" t="s">
        <v>1370</v>
      </c>
      <c r="H508" s="7" t="s">
        <v>1371</v>
      </c>
      <c r="I508" s="9">
        <v>45289</v>
      </c>
    </row>
    <row r="509" spans="1:9" x14ac:dyDescent="0.15">
      <c r="A509" s="6">
        <v>508</v>
      </c>
      <c r="B509" s="7" t="s">
        <v>9</v>
      </c>
      <c r="C509" s="8">
        <v>1883</v>
      </c>
      <c r="D509" s="9">
        <v>45395</v>
      </c>
      <c r="E509" s="13" t="str">
        <f>+HYPERLINK("http://trademark.i-assist.jp/data/china/image_1883th/76109412.pdf","76109412")</f>
        <v>76109412</v>
      </c>
      <c r="F509" s="7" t="s">
        <v>1372</v>
      </c>
      <c r="G509" s="7" t="s">
        <v>1319</v>
      </c>
      <c r="H509" s="7" t="s">
        <v>1373</v>
      </c>
      <c r="I509" s="9">
        <v>45289</v>
      </c>
    </row>
    <row r="510" spans="1:9" x14ac:dyDescent="0.15">
      <c r="A510" s="6">
        <v>509</v>
      </c>
      <c r="B510" s="7" t="s">
        <v>9</v>
      </c>
      <c r="C510" s="8">
        <v>1883</v>
      </c>
      <c r="D510" s="9">
        <v>45395</v>
      </c>
      <c r="E510" s="13" t="str">
        <f>+HYPERLINK("http://trademark.i-assist.jp/data/china/image_1883th/76109554.pdf","76109554")</f>
        <v>76109554</v>
      </c>
      <c r="F510" s="7" t="s">
        <v>1374</v>
      </c>
      <c r="G510" s="7" t="s">
        <v>1375</v>
      </c>
      <c r="H510" s="7" t="s">
        <v>1376</v>
      </c>
      <c r="I510" s="9">
        <v>45289</v>
      </c>
    </row>
    <row r="511" spans="1:9" x14ac:dyDescent="0.15">
      <c r="A511" s="6">
        <v>510</v>
      </c>
      <c r="B511" s="7" t="s">
        <v>9</v>
      </c>
      <c r="C511" s="8">
        <v>1883</v>
      </c>
      <c r="D511" s="9">
        <v>45395</v>
      </c>
      <c r="E511" s="13" t="str">
        <f>+HYPERLINK("http://trademark.i-assist.jp/data/china/image_1883th/76109839.pdf","76109839")</f>
        <v>76109839</v>
      </c>
      <c r="F511" s="7" t="s">
        <v>57</v>
      </c>
      <c r="G511" s="7" t="s">
        <v>1377</v>
      </c>
      <c r="H511" s="7" t="s">
        <v>1378</v>
      </c>
      <c r="I511" s="9">
        <v>45289</v>
      </c>
    </row>
    <row r="512" spans="1:9" ht="27" x14ac:dyDescent="0.15">
      <c r="A512" s="6">
        <v>511</v>
      </c>
      <c r="B512" s="7" t="s">
        <v>9</v>
      </c>
      <c r="C512" s="8">
        <v>1883</v>
      </c>
      <c r="D512" s="9">
        <v>45395</v>
      </c>
      <c r="E512" s="13" t="str">
        <f>+HYPERLINK("http://trademark.i-assist.jp/data/china/image_1883th/76110258.pdf","76110258")</f>
        <v>76110258</v>
      </c>
      <c r="F512" s="7" t="s">
        <v>1379</v>
      </c>
      <c r="G512" s="7" t="s">
        <v>916</v>
      </c>
      <c r="H512" s="7" t="s">
        <v>1380</v>
      </c>
      <c r="I512" s="9">
        <v>45289</v>
      </c>
    </row>
    <row r="513" spans="1:9" ht="27" x14ac:dyDescent="0.15">
      <c r="A513" s="6">
        <v>512</v>
      </c>
      <c r="B513" s="7" t="s">
        <v>9</v>
      </c>
      <c r="C513" s="8">
        <v>1883</v>
      </c>
      <c r="D513" s="9">
        <v>45395</v>
      </c>
      <c r="E513" s="13" t="str">
        <f>+HYPERLINK("http://trademark.i-assist.jp/data/china/image_1883th/76110410.pdf","76110410")</f>
        <v>76110410</v>
      </c>
      <c r="F513" s="7" t="s">
        <v>1381</v>
      </c>
      <c r="G513" s="7" t="s">
        <v>1382</v>
      </c>
      <c r="H513" s="7" t="s">
        <v>1383</v>
      </c>
      <c r="I513" s="9">
        <v>45289</v>
      </c>
    </row>
    <row r="514" spans="1:9" x14ac:dyDescent="0.15">
      <c r="A514" s="6">
        <v>513</v>
      </c>
      <c r="B514" s="7" t="s">
        <v>9</v>
      </c>
      <c r="C514" s="8">
        <v>1883</v>
      </c>
      <c r="D514" s="9">
        <v>45395</v>
      </c>
      <c r="E514" s="13" t="str">
        <f>+HYPERLINK("http://trademark.i-assist.jp/data/china/image_1883th/76110502.pdf","76110502")</f>
        <v>76110502</v>
      </c>
      <c r="F514" s="7" t="s">
        <v>1384</v>
      </c>
      <c r="G514" s="7" t="s">
        <v>1385</v>
      </c>
      <c r="H514" s="7" t="s">
        <v>1386</v>
      </c>
      <c r="I514" s="9">
        <v>45289</v>
      </c>
    </row>
    <row r="515" spans="1:9" x14ac:dyDescent="0.15">
      <c r="A515" s="6">
        <v>514</v>
      </c>
      <c r="B515" s="7" t="s">
        <v>9</v>
      </c>
      <c r="C515" s="8">
        <v>1883</v>
      </c>
      <c r="D515" s="9">
        <v>45395</v>
      </c>
      <c r="E515" s="13" t="str">
        <f>+HYPERLINK("http://trademark.i-assist.jp/data/china/image_1883th/76110725.pdf","76110725")</f>
        <v>76110725</v>
      </c>
      <c r="F515" s="7" t="s">
        <v>1387</v>
      </c>
      <c r="G515" s="7" t="s">
        <v>1388</v>
      </c>
      <c r="H515" s="7" t="s">
        <v>1389</v>
      </c>
      <c r="I515" s="9">
        <v>45289</v>
      </c>
    </row>
    <row r="516" spans="1:9" ht="27" x14ac:dyDescent="0.15">
      <c r="A516" s="6">
        <v>515</v>
      </c>
      <c r="B516" s="7" t="s">
        <v>9</v>
      </c>
      <c r="C516" s="8">
        <v>1883</v>
      </c>
      <c r="D516" s="9">
        <v>45395</v>
      </c>
      <c r="E516" s="13" t="str">
        <f>+HYPERLINK("http://trademark.i-assist.jp/data/china/image_1883th/76111847.pdf","76111847")</f>
        <v>76111847</v>
      </c>
      <c r="F516" s="7" t="s">
        <v>1390</v>
      </c>
      <c r="G516" s="7" t="s">
        <v>1391</v>
      </c>
      <c r="H516" s="7" t="s">
        <v>1392</v>
      </c>
      <c r="I516" s="9">
        <v>45289</v>
      </c>
    </row>
    <row r="517" spans="1:9" x14ac:dyDescent="0.15">
      <c r="A517" s="6">
        <v>516</v>
      </c>
      <c r="B517" s="7" t="s">
        <v>9</v>
      </c>
      <c r="C517" s="8">
        <v>1883</v>
      </c>
      <c r="D517" s="9">
        <v>45395</v>
      </c>
      <c r="E517" s="13" t="str">
        <f>+HYPERLINK("http://trademark.i-assist.jp/data/china/image_1883th/76112686.pdf","76112686")</f>
        <v>76112686</v>
      </c>
      <c r="F517" s="7" t="s">
        <v>57</v>
      </c>
      <c r="G517" s="7" t="s">
        <v>1367</v>
      </c>
      <c r="H517" s="7" t="s">
        <v>1393</v>
      </c>
      <c r="I517" s="9">
        <v>45289</v>
      </c>
    </row>
    <row r="518" spans="1:9" x14ac:dyDescent="0.15">
      <c r="A518" s="6">
        <v>517</v>
      </c>
      <c r="B518" s="7" t="s">
        <v>9</v>
      </c>
      <c r="C518" s="8">
        <v>1883</v>
      </c>
      <c r="D518" s="9">
        <v>45395</v>
      </c>
      <c r="E518" s="13" t="str">
        <f>+HYPERLINK("http://trademark.i-assist.jp/data/china/image_1883th/76113606.pdf","76113606")</f>
        <v>76113606</v>
      </c>
      <c r="F518" s="7" t="s">
        <v>1394</v>
      </c>
      <c r="G518" s="7" t="s">
        <v>1395</v>
      </c>
      <c r="H518" s="7" t="s">
        <v>1396</v>
      </c>
      <c r="I518" s="9">
        <v>45289</v>
      </c>
    </row>
    <row r="519" spans="1:9" x14ac:dyDescent="0.15">
      <c r="A519" s="6">
        <v>518</v>
      </c>
      <c r="B519" s="7" t="s">
        <v>9</v>
      </c>
      <c r="C519" s="8">
        <v>1883</v>
      </c>
      <c r="D519" s="9">
        <v>45395</v>
      </c>
      <c r="E519" s="13" t="str">
        <f>+HYPERLINK("http://trademark.i-assist.jp/data/china/image_1883th/76114192.pdf","76114192")</f>
        <v>76114192</v>
      </c>
      <c r="F519" s="7" t="s">
        <v>1397</v>
      </c>
      <c r="G519" s="7" t="s">
        <v>1398</v>
      </c>
      <c r="H519" s="7" t="s">
        <v>1399</v>
      </c>
      <c r="I519" s="9">
        <v>45289</v>
      </c>
    </row>
    <row r="520" spans="1:9" ht="27" x14ac:dyDescent="0.15">
      <c r="A520" s="6">
        <v>519</v>
      </c>
      <c r="B520" s="7" t="s">
        <v>9</v>
      </c>
      <c r="C520" s="8">
        <v>1883</v>
      </c>
      <c r="D520" s="9">
        <v>45395</v>
      </c>
      <c r="E520" s="13" t="str">
        <f>+HYPERLINK("http://trademark.i-assist.jp/data/china/image_1883th/76114439.pdf","76114439")</f>
        <v>76114439</v>
      </c>
      <c r="F520" s="7" t="s">
        <v>1400</v>
      </c>
      <c r="G520" s="7" t="s">
        <v>1401</v>
      </c>
      <c r="H520" s="7" t="s">
        <v>1402</v>
      </c>
      <c r="I520" s="9">
        <v>45289</v>
      </c>
    </row>
    <row r="521" spans="1:9" x14ac:dyDescent="0.15">
      <c r="A521" s="6">
        <v>520</v>
      </c>
      <c r="B521" s="7" t="s">
        <v>9</v>
      </c>
      <c r="C521" s="8">
        <v>1883</v>
      </c>
      <c r="D521" s="9">
        <v>45395</v>
      </c>
      <c r="E521" s="13" t="str">
        <f>+HYPERLINK("http://trademark.i-assist.jp/data/china/image_1883th/76115308.pdf","76115308")</f>
        <v>76115308</v>
      </c>
      <c r="F521" s="7" t="s">
        <v>1403</v>
      </c>
      <c r="G521" s="7" t="s">
        <v>1404</v>
      </c>
      <c r="H521" s="7" t="s">
        <v>1405</v>
      </c>
      <c r="I521" s="9">
        <v>45289</v>
      </c>
    </row>
    <row r="522" spans="1:9" x14ac:dyDescent="0.15">
      <c r="A522" s="6">
        <v>521</v>
      </c>
      <c r="B522" s="7" t="s">
        <v>9</v>
      </c>
      <c r="C522" s="8">
        <v>1883</v>
      </c>
      <c r="D522" s="9">
        <v>45395</v>
      </c>
      <c r="E522" s="13" t="str">
        <f>+HYPERLINK("http://trademark.i-assist.jp/data/china/image_1883th/76115950.pdf","76115950")</f>
        <v>76115950</v>
      </c>
      <c r="F522" s="7" t="s">
        <v>1406</v>
      </c>
      <c r="G522" s="7" t="s">
        <v>1407</v>
      </c>
      <c r="H522" s="7" t="s">
        <v>1408</v>
      </c>
      <c r="I522" s="9">
        <v>45289</v>
      </c>
    </row>
    <row r="523" spans="1:9" x14ac:dyDescent="0.15">
      <c r="A523" s="6">
        <v>522</v>
      </c>
      <c r="B523" s="7" t="s">
        <v>9</v>
      </c>
      <c r="C523" s="8">
        <v>1883</v>
      </c>
      <c r="D523" s="9">
        <v>45395</v>
      </c>
      <c r="E523" s="13" t="str">
        <f>+HYPERLINK("http://trademark.i-assist.jp/data/china/image_1883th/76116065.pdf","76116065")</f>
        <v>76116065</v>
      </c>
      <c r="F523" s="7" t="s">
        <v>1409</v>
      </c>
      <c r="G523" s="7" t="s">
        <v>1410</v>
      </c>
      <c r="H523" s="7" t="s">
        <v>1411</v>
      </c>
      <c r="I523" s="9">
        <v>45289</v>
      </c>
    </row>
    <row r="524" spans="1:9" x14ac:dyDescent="0.15">
      <c r="A524" s="6">
        <v>523</v>
      </c>
      <c r="B524" s="7" t="s">
        <v>9</v>
      </c>
      <c r="C524" s="8">
        <v>1883</v>
      </c>
      <c r="D524" s="9">
        <v>45395</v>
      </c>
      <c r="E524" s="13" t="str">
        <f>+HYPERLINK("http://trademark.i-assist.jp/data/china/image_1883th/76116934.pdf","76116934")</f>
        <v>76116934</v>
      </c>
      <c r="F524" s="7" t="s">
        <v>1412</v>
      </c>
      <c r="G524" s="7" t="s">
        <v>1413</v>
      </c>
      <c r="H524" s="7" t="s">
        <v>1414</v>
      </c>
      <c r="I524" s="9">
        <v>45289</v>
      </c>
    </row>
    <row r="525" spans="1:9" ht="27" x14ac:dyDescent="0.15">
      <c r="A525" s="6">
        <v>524</v>
      </c>
      <c r="B525" s="7" t="s">
        <v>9</v>
      </c>
      <c r="C525" s="8">
        <v>1883</v>
      </c>
      <c r="D525" s="9">
        <v>45395</v>
      </c>
      <c r="E525" s="13" t="str">
        <f>+HYPERLINK("http://trademark.i-assist.jp/data/china/image_1883th/76117280.pdf","76117280")</f>
        <v>76117280</v>
      </c>
      <c r="F525" s="7" t="s">
        <v>1415</v>
      </c>
      <c r="G525" s="7" t="s">
        <v>1416</v>
      </c>
      <c r="H525" s="7" t="s">
        <v>1417</v>
      </c>
      <c r="I525" s="9">
        <v>45289</v>
      </c>
    </row>
    <row r="526" spans="1:9" ht="27" x14ac:dyDescent="0.15">
      <c r="A526" s="6">
        <v>525</v>
      </c>
      <c r="B526" s="7" t="s">
        <v>9</v>
      </c>
      <c r="C526" s="8">
        <v>1883</v>
      </c>
      <c r="D526" s="9">
        <v>45395</v>
      </c>
      <c r="E526" s="13" t="str">
        <f>+HYPERLINK("http://trademark.i-assist.jp/data/china/image_1883th/76117289.pdf","76117289")</f>
        <v>76117289</v>
      </c>
      <c r="F526" s="7" t="s">
        <v>1418</v>
      </c>
      <c r="G526" s="7" t="s">
        <v>916</v>
      </c>
      <c r="H526" s="7" t="s">
        <v>1419</v>
      </c>
      <c r="I526" s="9">
        <v>45289</v>
      </c>
    </row>
    <row r="527" spans="1:9" ht="27" x14ac:dyDescent="0.15">
      <c r="A527" s="6">
        <v>526</v>
      </c>
      <c r="B527" s="7" t="s">
        <v>9</v>
      </c>
      <c r="C527" s="8">
        <v>1883</v>
      </c>
      <c r="D527" s="9">
        <v>45395</v>
      </c>
      <c r="E527" s="13" t="str">
        <f>+HYPERLINK("http://trademark.i-assist.jp/data/china/image_1883th/76117310.pdf","76117310")</f>
        <v>76117310</v>
      </c>
      <c r="F527" s="7" t="s">
        <v>1420</v>
      </c>
      <c r="G527" s="7" t="s">
        <v>916</v>
      </c>
      <c r="H527" s="7" t="s">
        <v>1421</v>
      </c>
      <c r="I527" s="9">
        <v>45289</v>
      </c>
    </row>
    <row r="528" spans="1:9" ht="27" x14ac:dyDescent="0.15">
      <c r="A528" s="6">
        <v>527</v>
      </c>
      <c r="B528" s="7" t="s">
        <v>9</v>
      </c>
      <c r="C528" s="8">
        <v>1883</v>
      </c>
      <c r="D528" s="9">
        <v>45395</v>
      </c>
      <c r="E528" s="13" t="str">
        <f>+HYPERLINK("http://trademark.i-assist.jp/data/china/image_1883th/76117347.pdf","76117347")</f>
        <v>76117347</v>
      </c>
      <c r="F528" s="7" t="s">
        <v>1422</v>
      </c>
      <c r="G528" s="7" t="s">
        <v>916</v>
      </c>
      <c r="H528" s="7" t="s">
        <v>1423</v>
      </c>
      <c r="I528" s="9">
        <v>45289</v>
      </c>
    </row>
    <row r="529" spans="1:9" ht="27" x14ac:dyDescent="0.15">
      <c r="A529" s="6">
        <v>528</v>
      </c>
      <c r="B529" s="7" t="s">
        <v>9</v>
      </c>
      <c r="C529" s="8">
        <v>1883</v>
      </c>
      <c r="D529" s="9">
        <v>45395</v>
      </c>
      <c r="E529" s="13" t="str">
        <f>+HYPERLINK("http://trademark.i-assist.jp/data/china/image_1883th/76118684.pdf","76118684")</f>
        <v>76118684</v>
      </c>
      <c r="F529" s="7" t="s">
        <v>1424</v>
      </c>
      <c r="G529" s="7" t="s">
        <v>916</v>
      </c>
      <c r="H529" s="7" t="s">
        <v>1425</v>
      </c>
      <c r="I529" s="9">
        <v>45289</v>
      </c>
    </row>
    <row r="530" spans="1:9" x14ac:dyDescent="0.15">
      <c r="A530" s="6">
        <v>529</v>
      </c>
      <c r="B530" s="7" t="s">
        <v>9</v>
      </c>
      <c r="C530" s="8">
        <v>1883</v>
      </c>
      <c r="D530" s="9">
        <v>45395</v>
      </c>
      <c r="E530" s="13" t="str">
        <f>+HYPERLINK("http://trademark.i-assist.jp/data/china/image_1883th/76119052.pdf","76119052")</f>
        <v>76119052</v>
      </c>
      <c r="F530" s="7" t="s">
        <v>1426</v>
      </c>
      <c r="G530" s="7" t="s">
        <v>916</v>
      </c>
      <c r="H530" s="7" t="s">
        <v>1427</v>
      </c>
      <c r="I530" s="9">
        <v>45289</v>
      </c>
    </row>
    <row r="531" spans="1:9" x14ac:dyDescent="0.15">
      <c r="A531" s="6">
        <v>530</v>
      </c>
      <c r="B531" s="7" t="s">
        <v>9</v>
      </c>
      <c r="C531" s="8">
        <v>1883</v>
      </c>
      <c r="D531" s="9">
        <v>45395</v>
      </c>
      <c r="E531" s="13" t="str">
        <f>+HYPERLINK("http://trademark.i-assist.jp/data/china/image_1883th/76119165.pdf","76119165")</f>
        <v>76119165</v>
      </c>
      <c r="F531" s="7" t="s">
        <v>1428</v>
      </c>
      <c r="G531" s="7" t="s">
        <v>1429</v>
      </c>
      <c r="H531" s="7" t="s">
        <v>1430</v>
      </c>
      <c r="I531" s="9">
        <v>45289</v>
      </c>
    </row>
    <row r="532" spans="1:9" x14ac:dyDescent="0.15">
      <c r="A532" s="6">
        <v>531</v>
      </c>
      <c r="B532" s="7" t="s">
        <v>9</v>
      </c>
      <c r="C532" s="8">
        <v>1883</v>
      </c>
      <c r="D532" s="9">
        <v>45395</v>
      </c>
      <c r="E532" s="13" t="str">
        <f>+HYPERLINK("http://trademark.i-assist.jp/data/china/image_1883th/76119729.pdf","76119729")</f>
        <v>76119729</v>
      </c>
      <c r="F532" s="7" t="s">
        <v>1431</v>
      </c>
      <c r="G532" s="7" t="s">
        <v>1432</v>
      </c>
      <c r="H532" s="7" t="s">
        <v>1433</v>
      </c>
      <c r="I532" s="9">
        <v>45289</v>
      </c>
    </row>
    <row r="533" spans="1:9" x14ac:dyDescent="0.15">
      <c r="A533" s="6">
        <v>532</v>
      </c>
      <c r="B533" s="7" t="s">
        <v>9</v>
      </c>
      <c r="C533" s="8">
        <v>1883</v>
      </c>
      <c r="D533" s="9">
        <v>45395</v>
      </c>
      <c r="E533" s="13" t="str">
        <f>+HYPERLINK("http://trademark.i-assist.jp/data/china/image_1883th/76121469.pdf","76121469")</f>
        <v>76121469</v>
      </c>
      <c r="F533" s="7" t="s">
        <v>1434</v>
      </c>
      <c r="G533" s="7" t="s">
        <v>1435</v>
      </c>
      <c r="H533" s="7" t="s">
        <v>1436</v>
      </c>
      <c r="I533" s="9">
        <v>45290</v>
      </c>
    </row>
    <row r="534" spans="1:9" x14ac:dyDescent="0.15">
      <c r="A534" s="6">
        <v>533</v>
      </c>
      <c r="B534" s="7" t="s">
        <v>9</v>
      </c>
      <c r="C534" s="8">
        <v>1883</v>
      </c>
      <c r="D534" s="9">
        <v>45395</v>
      </c>
      <c r="E534" s="13" t="str">
        <f>+HYPERLINK("http://trademark.i-assist.jp/data/china/image_1883th/76122385.pdf","76122385")</f>
        <v>76122385</v>
      </c>
      <c r="F534" s="7" t="s">
        <v>1437</v>
      </c>
      <c r="G534" s="7" t="s">
        <v>1438</v>
      </c>
      <c r="H534" s="7" t="s">
        <v>1439</v>
      </c>
      <c r="I534" s="9">
        <v>45290</v>
      </c>
    </row>
    <row r="535" spans="1:9" x14ac:dyDescent="0.15">
      <c r="A535" s="6">
        <v>534</v>
      </c>
      <c r="B535" s="7" t="s">
        <v>9</v>
      </c>
      <c r="C535" s="8">
        <v>1883</v>
      </c>
      <c r="D535" s="9">
        <v>45395</v>
      </c>
      <c r="E535" s="13" t="str">
        <f>+HYPERLINK("http://trademark.i-assist.jp/data/china/image_1883th/76124094.pdf","76124094")</f>
        <v>76124094</v>
      </c>
      <c r="F535" s="7" t="s">
        <v>1440</v>
      </c>
      <c r="G535" s="7" t="s">
        <v>1441</v>
      </c>
      <c r="H535" s="7" t="s">
        <v>1442</v>
      </c>
      <c r="I535" s="9">
        <v>45290</v>
      </c>
    </row>
    <row r="536" spans="1:9" x14ac:dyDescent="0.15">
      <c r="A536" s="6">
        <v>535</v>
      </c>
      <c r="B536" s="7" t="s">
        <v>9</v>
      </c>
      <c r="C536" s="8">
        <v>1883</v>
      </c>
      <c r="D536" s="9">
        <v>45395</v>
      </c>
      <c r="E536" s="13" t="str">
        <f>+HYPERLINK("http://trademark.i-assist.jp/data/china/image_1883th/76124607.pdf","76124607")</f>
        <v>76124607</v>
      </c>
      <c r="F536" s="7" t="s">
        <v>1443</v>
      </c>
      <c r="G536" s="7" t="s">
        <v>1444</v>
      </c>
      <c r="H536" s="7" t="s">
        <v>1445</v>
      </c>
      <c r="I536" s="9">
        <v>45290</v>
      </c>
    </row>
    <row r="537" spans="1:9" x14ac:dyDescent="0.15">
      <c r="A537" s="6">
        <v>536</v>
      </c>
      <c r="B537" s="7" t="s">
        <v>9</v>
      </c>
      <c r="C537" s="8">
        <v>1883</v>
      </c>
      <c r="D537" s="9">
        <v>45395</v>
      </c>
      <c r="E537" s="13" t="str">
        <f>+HYPERLINK("http://trademark.i-assist.jp/data/china/image_1883th/76125203.pdf","76125203")</f>
        <v>76125203</v>
      </c>
      <c r="F537" s="7" t="s">
        <v>1446</v>
      </c>
      <c r="G537" s="7" t="s">
        <v>1444</v>
      </c>
      <c r="H537" s="7" t="s">
        <v>1447</v>
      </c>
      <c r="I537" s="9">
        <v>45290</v>
      </c>
    </row>
    <row r="538" spans="1:9" x14ac:dyDescent="0.15">
      <c r="A538" s="6">
        <v>537</v>
      </c>
      <c r="B538" s="7" t="s">
        <v>9</v>
      </c>
      <c r="C538" s="8">
        <v>1883</v>
      </c>
      <c r="D538" s="9">
        <v>45395</v>
      </c>
      <c r="E538" s="13" t="str">
        <f>+HYPERLINK("http://trademark.i-assist.jp/data/china/image_1883th/76125588.pdf","76125588")</f>
        <v>76125588</v>
      </c>
      <c r="F538" s="7" t="s">
        <v>1448</v>
      </c>
      <c r="G538" s="7" t="s">
        <v>1444</v>
      </c>
      <c r="H538" s="7" t="s">
        <v>1449</v>
      </c>
      <c r="I538" s="9">
        <v>45290</v>
      </c>
    </row>
    <row r="539" spans="1:9" x14ac:dyDescent="0.15">
      <c r="A539" s="6">
        <v>538</v>
      </c>
      <c r="B539" s="7" t="s">
        <v>9</v>
      </c>
      <c r="C539" s="8">
        <v>1883</v>
      </c>
      <c r="D539" s="9">
        <v>45395</v>
      </c>
      <c r="E539" s="13" t="str">
        <f>+HYPERLINK("http://trademark.i-assist.jp/data/china/image_1883th/76125899.pdf","76125899")</f>
        <v>76125899</v>
      </c>
      <c r="F539" s="7" t="s">
        <v>1450</v>
      </c>
      <c r="G539" s="7" t="s">
        <v>1451</v>
      </c>
      <c r="H539" s="7" t="s">
        <v>1452</v>
      </c>
      <c r="I539" s="9">
        <v>45290</v>
      </c>
    </row>
    <row r="540" spans="1:9" x14ac:dyDescent="0.15">
      <c r="A540" s="6">
        <v>539</v>
      </c>
      <c r="B540" s="7" t="s">
        <v>9</v>
      </c>
      <c r="C540" s="8">
        <v>1883</v>
      </c>
      <c r="D540" s="9">
        <v>45395</v>
      </c>
      <c r="E540" s="13" t="str">
        <f>+HYPERLINK("http://trademark.i-assist.jp/data/china/image_1883th/76126255.pdf","76126255")</f>
        <v>76126255</v>
      </c>
      <c r="F540" s="7" t="s">
        <v>1453</v>
      </c>
      <c r="G540" s="7" t="s">
        <v>1454</v>
      </c>
      <c r="H540" s="7" t="s">
        <v>1455</v>
      </c>
      <c r="I540" s="9">
        <v>45290</v>
      </c>
    </row>
    <row r="541" spans="1:9" x14ac:dyDescent="0.15">
      <c r="A541" s="6">
        <v>540</v>
      </c>
      <c r="B541" s="7" t="s">
        <v>9</v>
      </c>
      <c r="C541" s="8">
        <v>1883</v>
      </c>
      <c r="D541" s="9">
        <v>45395</v>
      </c>
      <c r="E541" s="13" t="str">
        <f>+HYPERLINK("http://trademark.i-assist.jp/data/china/image_1883th/76126973.pdf","76126973")</f>
        <v>76126973</v>
      </c>
      <c r="F541" s="7" t="s">
        <v>1456</v>
      </c>
      <c r="G541" s="7" t="s">
        <v>1457</v>
      </c>
      <c r="H541" s="7" t="s">
        <v>1458</v>
      </c>
      <c r="I541" s="9">
        <v>45291</v>
      </c>
    </row>
    <row r="542" spans="1:9" x14ac:dyDescent="0.15">
      <c r="A542" s="6">
        <v>541</v>
      </c>
      <c r="B542" s="7" t="s">
        <v>9</v>
      </c>
      <c r="C542" s="8">
        <v>1883</v>
      </c>
      <c r="D542" s="9">
        <v>45395</v>
      </c>
      <c r="E542" s="13" t="str">
        <f>+HYPERLINK("http://trademark.i-assist.jp/data/china/image_1883th/76127473.pdf","76127473")</f>
        <v>76127473</v>
      </c>
      <c r="F542" s="7" t="s">
        <v>1459</v>
      </c>
      <c r="G542" s="7" t="s">
        <v>1460</v>
      </c>
      <c r="H542" s="7" t="s">
        <v>1461</v>
      </c>
      <c r="I542" s="9">
        <v>45291</v>
      </c>
    </row>
    <row r="543" spans="1:9" x14ac:dyDescent="0.15">
      <c r="A543" s="6">
        <v>542</v>
      </c>
      <c r="B543" s="7" t="s">
        <v>9</v>
      </c>
      <c r="C543" s="8">
        <v>1883</v>
      </c>
      <c r="D543" s="9">
        <v>45395</v>
      </c>
      <c r="E543" s="13" t="str">
        <f>+HYPERLINK("http://trademark.i-assist.jp/data/china/image_1883th/76127570.pdf","76127570")</f>
        <v>76127570</v>
      </c>
      <c r="F543" s="7" t="s">
        <v>1462</v>
      </c>
      <c r="G543" s="7" t="s">
        <v>1463</v>
      </c>
      <c r="H543" s="7" t="s">
        <v>1464</v>
      </c>
      <c r="I543" s="9">
        <v>45291</v>
      </c>
    </row>
    <row r="544" spans="1:9" x14ac:dyDescent="0.15">
      <c r="A544" s="6">
        <v>543</v>
      </c>
      <c r="B544" s="7" t="s">
        <v>9</v>
      </c>
      <c r="C544" s="8">
        <v>1883</v>
      </c>
      <c r="D544" s="9">
        <v>45395</v>
      </c>
      <c r="E544" s="13" t="str">
        <f>+HYPERLINK("http://trademark.i-assist.jp/data/china/image_1883th/76127677.pdf","76127677")</f>
        <v>76127677</v>
      </c>
      <c r="F544" s="7" t="s">
        <v>1465</v>
      </c>
      <c r="G544" s="7" t="s">
        <v>1466</v>
      </c>
      <c r="H544" s="7" t="s">
        <v>1467</v>
      </c>
      <c r="I544" s="9">
        <v>45291</v>
      </c>
    </row>
    <row r="545" spans="1:9" x14ac:dyDescent="0.15">
      <c r="A545" s="6">
        <v>544</v>
      </c>
      <c r="B545" s="7" t="s">
        <v>9</v>
      </c>
      <c r="C545" s="8">
        <v>1883</v>
      </c>
      <c r="D545" s="9">
        <v>45395</v>
      </c>
      <c r="E545" s="13" t="str">
        <f>+HYPERLINK("http://trademark.i-assist.jp/data/china/image_1883th/76127953.pdf","76127953")</f>
        <v>76127953</v>
      </c>
      <c r="F545" s="7" t="s">
        <v>1468</v>
      </c>
      <c r="G545" s="7" t="s">
        <v>1469</v>
      </c>
      <c r="H545" s="7" t="s">
        <v>1470</v>
      </c>
      <c r="I545" s="9">
        <v>45291</v>
      </c>
    </row>
    <row r="546" spans="1:9" x14ac:dyDescent="0.15">
      <c r="A546" s="6">
        <v>545</v>
      </c>
      <c r="B546" s="7" t="s">
        <v>9</v>
      </c>
      <c r="C546" s="8">
        <v>1883</v>
      </c>
      <c r="D546" s="9">
        <v>45395</v>
      </c>
      <c r="E546" s="13" t="str">
        <f>+HYPERLINK("http://trademark.i-assist.jp/data/china/image_1883th/76128452.pdf","76128452")</f>
        <v>76128452</v>
      </c>
      <c r="F546" s="7" t="s">
        <v>1471</v>
      </c>
      <c r="G546" s="7" t="s">
        <v>1444</v>
      </c>
      <c r="H546" s="7" t="s">
        <v>1472</v>
      </c>
      <c r="I546" s="9">
        <v>45291</v>
      </c>
    </row>
    <row r="547" spans="1:9" x14ac:dyDescent="0.15">
      <c r="A547" s="6">
        <v>546</v>
      </c>
      <c r="B547" s="7" t="s">
        <v>9</v>
      </c>
      <c r="C547" s="8">
        <v>1883</v>
      </c>
      <c r="D547" s="9">
        <v>45395</v>
      </c>
      <c r="E547" s="13" t="str">
        <f>+HYPERLINK("http://trademark.i-assist.jp/data/china/image_1883th/76129803.pdf","76129803")</f>
        <v>76129803</v>
      </c>
      <c r="F547" s="7" t="s">
        <v>1473</v>
      </c>
      <c r="G547" s="7" t="s">
        <v>1474</v>
      </c>
      <c r="H547" s="7" t="s">
        <v>1475</v>
      </c>
      <c r="I547" s="9">
        <v>45292</v>
      </c>
    </row>
    <row r="548" spans="1:9" x14ac:dyDescent="0.15">
      <c r="A548" s="6">
        <v>547</v>
      </c>
      <c r="B548" s="7" t="s">
        <v>9</v>
      </c>
      <c r="C548" s="8">
        <v>1883</v>
      </c>
      <c r="D548" s="9">
        <v>45395</v>
      </c>
      <c r="E548" s="13" t="str">
        <f>+HYPERLINK("http://trademark.i-assist.jp/data/china/image_1883th/76131053.pdf","76131053")</f>
        <v>76131053</v>
      </c>
      <c r="F548" s="7" t="s">
        <v>1476</v>
      </c>
      <c r="G548" s="7" t="s">
        <v>1477</v>
      </c>
      <c r="H548" s="7" t="s">
        <v>1478</v>
      </c>
      <c r="I548" s="9">
        <v>45293</v>
      </c>
    </row>
    <row r="549" spans="1:9" x14ac:dyDescent="0.15">
      <c r="A549" s="6">
        <v>548</v>
      </c>
      <c r="B549" s="7" t="s">
        <v>9</v>
      </c>
      <c r="C549" s="8">
        <v>1883</v>
      </c>
      <c r="D549" s="9">
        <v>45395</v>
      </c>
      <c r="E549" s="13" t="str">
        <f>+HYPERLINK("http://trademark.i-assist.jp/data/china/image_1883th/76131898.pdf","76131898")</f>
        <v>76131898</v>
      </c>
      <c r="F549" s="7" t="s">
        <v>1479</v>
      </c>
      <c r="G549" s="7" t="s">
        <v>1480</v>
      </c>
      <c r="H549" s="7" t="s">
        <v>1481</v>
      </c>
      <c r="I549" s="9">
        <v>45293</v>
      </c>
    </row>
    <row r="550" spans="1:9" ht="27" x14ac:dyDescent="0.15">
      <c r="A550" s="6">
        <v>549</v>
      </c>
      <c r="B550" s="7" t="s">
        <v>9</v>
      </c>
      <c r="C550" s="8">
        <v>1883</v>
      </c>
      <c r="D550" s="9">
        <v>45395</v>
      </c>
      <c r="E550" s="13" t="str">
        <f>+HYPERLINK("http://trademark.i-assist.jp/data/china/image_1883th/76134106.pdf","76134106")</f>
        <v>76134106</v>
      </c>
      <c r="F550" s="7" t="s">
        <v>1482</v>
      </c>
      <c r="G550" s="7" t="s">
        <v>1483</v>
      </c>
      <c r="H550" s="7" t="s">
        <v>1484</v>
      </c>
      <c r="I550" s="9">
        <v>45293</v>
      </c>
    </row>
    <row r="551" spans="1:9" x14ac:dyDescent="0.15">
      <c r="A551" s="6">
        <v>550</v>
      </c>
      <c r="B551" s="7" t="s">
        <v>9</v>
      </c>
      <c r="C551" s="8">
        <v>1883</v>
      </c>
      <c r="D551" s="9">
        <v>45395</v>
      </c>
      <c r="E551" s="13" t="str">
        <f>+HYPERLINK("http://trademark.i-assist.jp/data/china/image_1883th/76134794.pdf","76134794")</f>
        <v>76134794</v>
      </c>
      <c r="F551" s="7" t="s">
        <v>1485</v>
      </c>
      <c r="G551" s="7" t="s">
        <v>1486</v>
      </c>
      <c r="H551" s="7" t="s">
        <v>1487</v>
      </c>
      <c r="I551" s="9">
        <v>45293</v>
      </c>
    </row>
    <row r="552" spans="1:9" x14ac:dyDescent="0.15">
      <c r="A552" s="6">
        <v>551</v>
      </c>
      <c r="B552" s="7" t="s">
        <v>9</v>
      </c>
      <c r="C552" s="8">
        <v>1883</v>
      </c>
      <c r="D552" s="9">
        <v>45395</v>
      </c>
      <c r="E552" s="13" t="str">
        <f>+HYPERLINK("http://trademark.i-assist.jp/data/china/image_1883th/76135340.pdf","76135340")</f>
        <v>76135340</v>
      </c>
      <c r="F552" s="7" t="s">
        <v>1488</v>
      </c>
      <c r="G552" s="7" t="s">
        <v>1489</v>
      </c>
      <c r="H552" s="7" t="s">
        <v>1490</v>
      </c>
      <c r="I552" s="9">
        <v>45293</v>
      </c>
    </row>
    <row r="553" spans="1:9" ht="27" x14ac:dyDescent="0.15">
      <c r="A553" s="6">
        <v>552</v>
      </c>
      <c r="B553" s="7" t="s">
        <v>9</v>
      </c>
      <c r="C553" s="8">
        <v>1883</v>
      </c>
      <c r="D553" s="9">
        <v>45395</v>
      </c>
      <c r="E553" s="13" t="str">
        <f>+HYPERLINK("http://trademark.i-assist.jp/data/china/image_1883th/76136334.pdf","76136334")</f>
        <v>76136334</v>
      </c>
      <c r="F553" s="7" t="s">
        <v>1491</v>
      </c>
      <c r="G553" s="7" t="s">
        <v>1492</v>
      </c>
      <c r="H553" s="7" t="s">
        <v>1493</v>
      </c>
      <c r="I553" s="9">
        <v>45293</v>
      </c>
    </row>
    <row r="554" spans="1:9" x14ac:dyDescent="0.15">
      <c r="A554" s="6">
        <v>553</v>
      </c>
      <c r="B554" s="7" t="s">
        <v>9</v>
      </c>
      <c r="C554" s="8">
        <v>1883</v>
      </c>
      <c r="D554" s="9">
        <v>45395</v>
      </c>
      <c r="E554" s="13" t="str">
        <f>+HYPERLINK("http://trademark.i-assist.jp/data/china/image_1883th/76136337.pdf","76136337")</f>
        <v>76136337</v>
      </c>
      <c r="F554" s="7" t="s">
        <v>1494</v>
      </c>
      <c r="G554" s="7" t="s">
        <v>1495</v>
      </c>
      <c r="H554" s="7" t="s">
        <v>1496</v>
      </c>
      <c r="I554" s="9">
        <v>45293</v>
      </c>
    </row>
    <row r="555" spans="1:9" x14ac:dyDescent="0.15">
      <c r="A555" s="6">
        <v>554</v>
      </c>
      <c r="B555" s="7" t="s">
        <v>9</v>
      </c>
      <c r="C555" s="8">
        <v>1883</v>
      </c>
      <c r="D555" s="9">
        <v>45395</v>
      </c>
      <c r="E555" s="13" t="str">
        <f>+HYPERLINK("http://trademark.i-assist.jp/data/china/image_1883th/76137064.pdf","76137064")</f>
        <v>76137064</v>
      </c>
      <c r="F555" s="7" t="s">
        <v>1497</v>
      </c>
      <c r="G555" s="7" t="s">
        <v>1498</v>
      </c>
      <c r="H555" s="7" t="s">
        <v>1499</v>
      </c>
      <c r="I555" s="9">
        <v>45293</v>
      </c>
    </row>
    <row r="556" spans="1:9" x14ac:dyDescent="0.15">
      <c r="A556" s="6">
        <v>555</v>
      </c>
      <c r="B556" s="7" t="s">
        <v>9</v>
      </c>
      <c r="C556" s="8">
        <v>1883</v>
      </c>
      <c r="D556" s="9">
        <v>45395</v>
      </c>
      <c r="E556" s="13" t="str">
        <f>+HYPERLINK("http://trademark.i-assist.jp/data/china/image_1883th/76138137.pdf","76138137")</f>
        <v>76138137</v>
      </c>
      <c r="F556" s="7" t="s">
        <v>1500</v>
      </c>
      <c r="G556" s="7" t="s">
        <v>1501</v>
      </c>
      <c r="H556" s="7" t="s">
        <v>1502</v>
      </c>
      <c r="I556" s="9">
        <v>45293</v>
      </c>
    </row>
    <row r="557" spans="1:9" x14ac:dyDescent="0.15">
      <c r="A557" s="6">
        <v>556</v>
      </c>
      <c r="B557" s="7" t="s">
        <v>9</v>
      </c>
      <c r="C557" s="8">
        <v>1883</v>
      </c>
      <c r="D557" s="9">
        <v>45395</v>
      </c>
      <c r="E557" s="13" t="str">
        <f>+HYPERLINK("http://trademark.i-assist.jp/data/china/image_1883th/76139082.pdf","76139082")</f>
        <v>76139082</v>
      </c>
      <c r="F557" s="7" t="s">
        <v>1503</v>
      </c>
      <c r="G557" s="7" t="s">
        <v>1504</v>
      </c>
      <c r="H557" s="7" t="s">
        <v>1505</v>
      </c>
      <c r="I557" s="9">
        <v>45293</v>
      </c>
    </row>
    <row r="558" spans="1:9" x14ac:dyDescent="0.15">
      <c r="A558" s="6">
        <v>557</v>
      </c>
      <c r="B558" s="7" t="s">
        <v>9</v>
      </c>
      <c r="C558" s="8">
        <v>1883</v>
      </c>
      <c r="D558" s="9">
        <v>45395</v>
      </c>
      <c r="E558" s="13" t="str">
        <f>+HYPERLINK("http://trademark.i-assist.jp/data/china/image_1883th/76139732.pdf","76139732")</f>
        <v>76139732</v>
      </c>
      <c r="F558" s="7" t="s">
        <v>1506</v>
      </c>
      <c r="G558" s="7" t="s">
        <v>1507</v>
      </c>
      <c r="H558" s="7" t="s">
        <v>1508</v>
      </c>
      <c r="I558" s="9">
        <v>45293</v>
      </c>
    </row>
    <row r="559" spans="1:9" ht="27" x14ac:dyDescent="0.15">
      <c r="A559" s="6">
        <v>558</v>
      </c>
      <c r="B559" s="7" t="s">
        <v>9</v>
      </c>
      <c r="C559" s="8">
        <v>1883</v>
      </c>
      <c r="D559" s="9">
        <v>45395</v>
      </c>
      <c r="E559" s="13" t="str">
        <f>+HYPERLINK("http://trademark.i-assist.jp/data/china/image_1883th/76140291.pdf","76140291")</f>
        <v>76140291</v>
      </c>
      <c r="F559" s="7" t="s">
        <v>1509</v>
      </c>
      <c r="G559" s="7" t="s">
        <v>1510</v>
      </c>
      <c r="H559" s="7" t="s">
        <v>1511</v>
      </c>
      <c r="I559" s="9">
        <v>45293</v>
      </c>
    </row>
    <row r="560" spans="1:9" x14ac:dyDescent="0.15">
      <c r="A560" s="6">
        <v>559</v>
      </c>
      <c r="B560" s="7" t="s">
        <v>9</v>
      </c>
      <c r="C560" s="8">
        <v>1883</v>
      </c>
      <c r="D560" s="9">
        <v>45395</v>
      </c>
      <c r="E560" s="13" t="str">
        <f>+HYPERLINK("http://trademark.i-assist.jp/data/china/image_1883th/76140931.pdf","76140931")</f>
        <v>76140931</v>
      </c>
      <c r="F560" s="7" t="s">
        <v>1512</v>
      </c>
      <c r="G560" s="7" t="s">
        <v>1513</v>
      </c>
      <c r="H560" s="7" t="s">
        <v>1514</v>
      </c>
      <c r="I560" s="9">
        <v>45293</v>
      </c>
    </row>
    <row r="561" spans="1:9" x14ac:dyDescent="0.15">
      <c r="A561" s="6">
        <v>560</v>
      </c>
      <c r="B561" s="7" t="s">
        <v>9</v>
      </c>
      <c r="C561" s="8">
        <v>1883</v>
      </c>
      <c r="D561" s="9">
        <v>45395</v>
      </c>
      <c r="E561" s="13" t="str">
        <f>+HYPERLINK("http://trademark.i-assist.jp/data/china/image_1883th/76142931.pdf","76142931")</f>
        <v>76142931</v>
      </c>
      <c r="F561" s="7" t="s">
        <v>1515</v>
      </c>
      <c r="G561" s="7" t="s">
        <v>1516</v>
      </c>
      <c r="H561" s="7" t="s">
        <v>1517</v>
      </c>
      <c r="I561" s="9">
        <v>45293</v>
      </c>
    </row>
    <row r="562" spans="1:9" x14ac:dyDescent="0.15">
      <c r="A562" s="6">
        <v>561</v>
      </c>
      <c r="B562" s="7" t="s">
        <v>9</v>
      </c>
      <c r="C562" s="8">
        <v>1883</v>
      </c>
      <c r="D562" s="9">
        <v>45395</v>
      </c>
      <c r="E562" s="13" t="str">
        <f>+HYPERLINK("http://trademark.i-assist.jp/data/china/image_1883th/76144473.pdf","76144473")</f>
        <v>76144473</v>
      </c>
      <c r="F562" s="7" t="s">
        <v>1518</v>
      </c>
      <c r="G562" s="7" t="s">
        <v>1489</v>
      </c>
      <c r="H562" s="7" t="s">
        <v>1519</v>
      </c>
      <c r="I562" s="9">
        <v>45293</v>
      </c>
    </row>
    <row r="563" spans="1:9" x14ac:dyDescent="0.15">
      <c r="A563" s="6">
        <v>562</v>
      </c>
      <c r="B563" s="7" t="s">
        <v>9</v>
      </c>
      <c r="C563" s="8">
        <v>1883</v>
      </c>
      <c r="D563" s="9">
        <v>45395</v>
      </c>
      <c r="E563" s="13" t="str">
        <f>+HYPERLINK("http://trademark.i-assist.jp/data/china/image_1883th/76145349.pdf","76145349")</f>
        <v>76145349</v>
      </c>
      <c r="F563" s="7" t="s">
        <v>1520</v>
      </c>
      <c r="G563" s="7" t="s">
        <v>1521</v>
      </c>
      <c r="H563" s="7" t="s">
        <v>1522</v>
      </c>
      <c r="I563" s="9">
        <v>45293</v>
      </c>
    </row>
    <row r="564" spans="1:9" x14ac:dyDescent="0.15">
      <c r="A564" s="6">
        <v>563</v>
      </c>
      <c r="B564" s="7" t="s">
        <v>9</v>
      </c>
      <c r="C564" s="8">
        <v>1883</v>
      </c>
      <c r="D564" s="9">
        <v>45395</v>
      </c>
      <c r="E564" s="13" t="str">
        <f>+HYPERLINK("http://trademark.i-assist.jp/data/china/image_1883th/76145541.pdf","76145541")</f>
        <v>76145541</v>
      </c>
      <c r="F564" s="7" t="s">
        <v>1523</v>
      </c>
      <c r="G564" s="7" t="s">
        <v>1524</v>
      </c>
      <c r="H564" s="7" t="s">
        <v>1525</v>
      </c>
      <c r="I564" s="9">
        <v>45293</v>
      </c>
    </row>
    <row r="565" spans="1:9" x14ac:dyDescent="0.15">
      <c r="A565" s="6">
        <v>564</v>
      </c>
      <c r="B565" s="7" t="s">
        <v>9</v>
      </c>
      <c r="C565" s="8">
        <v>1883</v>
      </c>
      <c r="D565" s="9">
        <v>45395</v>
      </c>
      <c r="E565" s="13" t="str">
        <f>+HYPERLINK("http://trademark.i-assist.jp/data/china/image_1883th/76145663.pdf","76145663")</f>
        <v>76145663</v>
      </c>
      <c r="F565" s="7" t="s">
        <v>1526</v>
      </c>
      <c r="G565" s="7" t="s">
        <v>1313</v>
      </c>
      <c r="H565" s="7" t="s">
        <v>1527</v>
      </c>
      <c r="I565" s="9">
        <v>45293</v>
      </c>
    </row>
    <row r="566" spans="1:9" x14ac:dyDescent="0.15">
      <c r="A566" s="6">
        <v>565</v>
      </c>
      <c r="B566" s="7" t="s">
        <v>9</v>
      </c>
      <c r="C566" s="8">
        <v>1883</v>
      </c>
      <c r="D566" s="9">
        <v>45395</v>
      </c>
      <c r="E566" s="13" t="str">
        <f>+HYPERLINK("http://trademark.i-assist.jp/data/china/image_1883th/76146326.pdf","76146326")</f>
        <v>76146326</v>
      </c>
      <c r="F566" s="7" t="s">
        <v>1528</v>
      </c>
      <c r="G566" s="7" t="s">
        <v>1529</v>
      </c>
      <c r="H566" s="7" t="s">
        <v>1530</v>
      </c>
      <c r="I566" s="9">
        <v>45293</v>
      </c>
    </row>
    <row r="567" spans="1:9" x14ac:dyDescent="0.15">
      <c r="A567" s="6">
        <v>566</v>
      </c>
      <c r="B567" s="7" t="s">
        <v>9</v>
      </c>
      <c r="C567" s="8">
        <v>1883</v>
      </c>
      <c r="D567" s="9">
        <v>45395</v>
      </c>
      <c r="E567" s="13" t="str">
        <f>+HYPERLINK("http://trademark.i-assist.jp/data/china/image_1883th/76146382.pdf","76146382")</f>
        <v>76146382</v>
      </c>
      <c r="F567" s="7" t="s">
        <v>1531</v>
      </c>
      <c r="G567" s="7" t="s">
        <v>1532</v>
      </c>
      <c r="H567" s="7" t="s">
        <v>1533</v>
      </c>
      <c r="I567" s="9">
        <v>45293</v>
      </c>
    </row>
    <row r="568" spans="1:9" x14ac:dyDescent="0.15">
      <c r="A568" s="6">
        <v>567</v>
      </c>
      <c r="B568" s="7" t="s">
        <v>9</v>
      </c>
      <c r="C568" s="8">
        <v>1883</v>
      </c>
      <c r="D568" s="9">
        <v>45395</v>
      </c>
      <c r="E568" s="13" t="str">
        <f>+HYPERLINK("http://trademark.i-assist.jp/data/china/image_1883th/76146519.pdf","76146519")</f>
        <v>76146519</v>
      </c>
      <c r="F568" s="7" t="s">
        <v>1534</v>
      </c>
      <c r="G568" s="7" t="s">
        <v>1535</v>
      </c>
      <c r="H568" s="7" t="s">
        <v>1536</v>
      </c>
      <c r="I568" s="9">
        <v>45293</v>
      </c>
    </row>
    <row r="569" spans="1:9" x14ac:dyDescent="0.15">
      <c r="A569" s="6">
        <v>568</v>
      </c>
      <c r="B569" s="7" t="s">
        <v>9</v>
      </c>
      <c r="C569" s="8">
        <v>1883</v>
      </c>
      <c r="D569" s="9">
        <v>45395</v>
      </c>
      <c r="E569" s="13" t="str">
        <f>+HYPERLINK("http://trademark.i-assist.jp/data/china/image_1883th/76146856.pdf","76146856")</f>
        <v>76146856</v>
      </c>
      <c r="F569" s="7" t="s">
        <v>1537</v>
      </c>
      <c r="G569" s="7" t="s">
        <v>1538</v>
      </c>
      <c r="H569" s="7" t="s">
        <v>1539</v>
      </c>
      <c r="I569" s="9">
        <v>45293</v>
      </c>
    </row>
    <row r="570" spans="1:9" x14ac:dyDescent="0.15">
      <c r="A570" s="6">
        <v>569</v>
      </c>
      <c r="B570" s="7" t="s">
        <v>9</v>
      </c>
      <c r="C570" s="8">
        <v>1883</v>
      </c>
      <c r="D570" s="9">
        <v>45395</v>
      </c>
      <c r="E570" s="13" t="str">
        <f>+HYPERLINK("http://trademark.i-assist.jp/data/china/image_1883th/76146903.pdf","76146903")</f>
        <v>76146903</v>
      </c>
      <c r="F570" s="7" t="s">
        <v>1540</v>
      </c>
      <c r="G570" s="7" t="s">
        <v>1541</v>
      </c>
      <c r="H570" s="7" t="s">
        <v>1542</v>
      </c>
      <c r="I570" s="9">
        <v>45293</v>
      </c>
    </row>
    <row r="571" spans="1:9" x14ac:dyDescent="0.15">
      <c r="A571" s="6">
        <v>570</v>
      </c>
      <c r="B571" s="7" t="s">
        <v>9</v>
      </c>
      <c r="C571" s="8">
        <v>1883</v>
      </c>
      <c r="D571" s="9">
        <v>45395</v>
      </c>
      <c r="E571" s="13" t="str">
        <f>+HYPERLINK("http://trademark.i-assist.jp/data/china/image_1883th/76147180.pdf","76147180")</f>
        <v>76147180</v>
      </c>
      <c r="F571" s="7" t="s">
        <v>1543</v>
      </c>
      <c r="G571" s="7" t="s">
        <v>1544</v>
      </c>
      <c r="H571" s="7" t="s">
        <v>1545</v>
      </c>
      <c r="I571" s="9">
        <v>45293</v>
      </c>
    </row>
    <row r="572" spans="1:9" x14ac:dyDescent="0.15">
      <c r="A572" s="6">
        <v>571</v>
      </c>
      <c r="B572" s="7" t="s">
        <v>9</v>
      </c>
      <c r="C572" s="8">
        <v>1883</v>
      </c>
      <c r="D572" s="9">
        <v>45395</v>
      </c>
      <c r="E572" s="13" t="str">
        <f>+HYPERLINK("http://trademark.i-assist.jp/data/china/image_1883th/76147275.pdf","76147275")</f>
        <v>76147275</v>
      </c>
      <c r="F572" s="7" t="s">
        <v>1546</v>
      </c>
      <c r="G572" s="7" t="s">
        <v>1547</v>
      </c>
      <c r="H572" s="7" t="s">
        <v>1548</v>
      </c>
      <c r="I572" s="9">
        <v>45293</v>
      </c>
    </row>
    <row r="573" spans="1:9" x14ac:dyDescent="0.15">
      <c r="A573" s="6">
        <v>572</v>
      </c>
      <c r="B573" s="7" t="s">
        <v>9</v>
      </c>
      <c r="C573" s="8">
        <v>1883</v>
      </c>
      <c r="D573" s="9">
        <v>45395</v>
      </c>
      <c r="E573" s="13" t="str">
        <f>+HYPERLINK("http://trademark.i-assist.jp/data/china/image_1883th/76147464.pdf","76147464")</f>
        <v>76147464</v>
      </c>
      <c r="F573" s="7" t="s">
        <v>1549</v>
      </c>
      <c r="G573" s="7" t="s">
        <v>1550</v>
      </c>
      <c r="H573" s="7" t="s">
        <v>1551</v>
      </c>
      <c r="I573" s="9">
        <v>45293</v>
      </c>
    </row>
    <row r="574" spans="1:9" x14ac:dyDescent="0.15">
      <c r="A574" s="6">
        <v>573</v>
      </c>
      <c r="B574" s="7" t="s">
        <v>9</v>
      </c>
      <c r="C574" s="8">
        <v>1883</v>
      </c>
      <c r="D574" s="9">
        <v>45395</v>
      </c>
      <c r="E574" s="13" t="str">
        <f>+HYPERLINK("http://trademark.i-assist.jp/data/china/image_1883th/76148031.pdf","76148031")</f>
        <v>76148031</v>
      </c>
      <c r="F574" s="7" t="s">
        <v>1552</v>
      </c>
      <c r="G574" s="7" t="s">
        <v>1553</v>
      </c>
      <c r="H574" s="7" t="s">
        <v>1554</v>
      </c>
      <c r="I574" s="9">
        <v>45293</v>
      </c>
    </row>
    <row r="575" spans="1:9" ht="27" x14ac:dyDescent="0.15">
      <c r="A575" s="6">
        <v>574</v>
      </c>
      <c r="B575" s="7" t="s">
        <v>9</v>
      </c>
      <c r="C575" s="8">
        <v>1883</v>
      </c>
      <c r="D575" s="9">
        <v>45395</v>
      </c>
      <c r="E575" s="13" t="str">
        <f>+HYPERLINK("http://trademark.i-assist.jp/data/china/image_1883th/76148108.pdf","76148108")</f>
        <v>76148108</v>
      </c>
      <c r="F575" s="7" t="s">
        <v>1555</v>
      </c>
      <c r="G575" s="7" t="s">
        <v>1556</v>
      </c>
      <c r="H575" s="7" t="s">
        <v>1557</v>
      </c>
      <c r="I575" s="9">
        <v>45293</v>
      </c>
    </row>
    <row r="576" spans="1:9" ht="27" x14ac:dyDescent="0.15">
      <c r="A576" s="6">
        <v>575</v>
      </c>
      <c r="B576" s="7" t="s">
        <v>9</v>
      </c>
      <c r="C576" s="8">
        <v>1883</v>
      </c>
      <c r="D576" s="9">
        <v>45395</v>
      </c>
      <c r="E576" s="13" t="str">
        <f>+HYPERLINK("http://trademark.i-assist.jp/data/china/image_1883th/76148314.pdf","76148314")</f>
        <v>76148314</v>
      </c>
      <c r="F576" s="7" t="s">
        <v>1558</v>
      </c>
      <c r="G576" s="7" t="s">
        <v>1559</v>
      </c>
      <c r="H576" s="7" t="s">
        <v>1560</v>
      </c>
      <c r="I576" s="9">
        <v>45293</v>
      </c>
    </row>
    <row r="577" spans="1:9" ht="27" x14ac:dyDescent="0.15">
      <c r="A577" s="6">
        <v>576</v>
      </c>
      <c r="B577" s="7" t="s">
        <v>9</v>
      </c>
      <c r="C577" s="8">
        <v>1883</v>
      </c>
      <c r="D577" s="9">
        <v>45395</v>
      </c>
      <c r="E577" s="13" t="str">
        <f>+HYPERLINK("http://trademark.i-assist.jp/data/china/image_1883th/76148428.pdf","76148428")</f>
        <v>76148428</v>
      </c>
      <c r="F577" s="7" t="s">
        <v>1561</v>
      </c>
      <c r="G577" s="7" t="s">
        <v>1562</v>
      </c>
      <c r="H577" s="7" t="s">
        <v>1563</v>
      </c>
      <c r="I577" s="9">
        <v>45293</v>
      </c>
    </row>
    <row r="578" spans="1:9" x14ac:dyDescent="0.15">
      <c r="A578" s="6">
        <v>577</v>
      </c>
      <c r="B578" s="7" t="s">
        <v>9</v>
      </c>
      <c r="C578" s="8">
        <v>1883</v>
      </c>
      <c r="D578" s="9">
        <v>45395</v>
      </c>
      <c r="E578" s="13" t="str">
        <f>+HYPERLINK("http://trademark.i-assist.jp/data/china/image_1883th/76148721.pdf","76148721")</f>
        <v>76148721</v>
      </c>
      <c r="F578" s="7" t="s">
        <v>57</v>
      </c>
      <c r="G578" s="7" t="s">
        <v>1564</v>
      </c>
      <c r="H578" s="7" t="s">
        <v>1565</v>
      </c>
      <c r="I578" s="9">
        <v>45293</v>
      </c>
    </row>
    <row r="579" spans="1:9" x14ac:dyDescent="0.15">
      <c r="A579" s="6">
        <v>578</v>
      </c>
      <c r="B579" s="7" t="s">
        <v>9</v>
      </c>
      <c r="C579" s="8">
        <v>1883</v>
      </c>
      <c r="D579" s="9">
        <v>45395</v>
      </c>
      <c r="E579" s="13" t="str">
        <f>+HYPERLINK("http://trademark.i-assist.jp/data/china/image_1883th/76150335.pdf","76150335")</f>
        <v>76150335</v>
      </c>
      <c r="F579" s="7" t="s">
        <v>1566</v>
      </c>
      <c r="G579" s="7" t="s">
        <v>1477</v>
      </c>
      <c r="H579" s="7" t="s">
        <v>1567</v>
      </c>
      <c r="I579" s="9">
        <v>45293</v>
      </c>
    </row>
    <row r="580" spans="1:9" x14ac:dyDescent="0.15">
      <c r="A580" s="6">
        <v>579</v>
      </c>
      <c r="B580" s="7" t="s">
        <v>9</v>
      </c>
      <c r="C580" s="8">
        <v>1883</v>
      </c>
      <c r="D580" s="9">
        <v>45395</v>
      </c>
      <c r="E580" s="13" t="str">
        <f>+HYPERLINK("http://trademark.i-assist.jp/data/china/image_1883th/76152754.pdf","76152754")</f>
        <v>76152754</v>
      </c>
      <c r="F580" s="7" t="s">
        <v>1568</v>
      </c>
      <c r="G580" s="7" t="s">
        <v>1477</v>
      </c>
      <c r="H580" s="7" t="s">
        <v>1569</v>
      </c>
      <c r="I580" s="9">
        <v>45293</v>
      </c>
    </row>
    <row r="581" spans="1:9" x14ac:dyDescent="0.15">
      <c r="A581" s="6">
        <v>580</v>
      </c>
      <c r="B581" s="7" t="s">
        <v>9</v>
      </c>
      <c r="C581" s="8">
        <v>1883</v>
      </c>
      <c r="D581" s="9">
        <v>45395</v>
      </c>
      <c r="E581" s="13" t="str">
        <f>+HYPERLINK("http://trademark.i-assist.jp/data/china/image_1883th/76152987.pdf","76152987")</f>
        <v>76152987</v>
      </c>
      <c r="F581" s="7" t="s">
        <v>1570</v>
      </c>
      <c r="G581" s="7" t="s">
        <v>1571</v>
      </c>
      <c r="H581" s="7" t="s">
        <v>1572</v>
      </c>
      <c r="I581" s="9">
        <v>45293</v>
      </c>
    </row>
    <row r="582" spans="1:9" x14ac:dyDescent="0.15">
      <c r="A582" s="6">
        <v>581</v>
      </c>
      <c r="B582" s="7" t="s">
        <v>9</v>
      </c>
      <c r="C582" s="8">
        <v>1883</v>
      </c>
      <c r="D582" s="9">
        <v>45395</v>
      </c>
      <c r="E582" s="13" t="str">
        <f>+HYPERLINK("http://trademark.i-assist.jp/data/china/image_1883th/76153059.pdf","76153059")</f>
        <v>76153059</v>
      </c>
      <c r="F582" s="7" t="s">
        <v>1573</v>
      </c>
      <c r="G582" s="7" t="s">
        <v>1574</v>
      </c>
      <c r="H582" s="7" t="s">
        <v>1575</v>
      </c>
      <c r="I582" s="9">
        <v>45293</v>
      </c>
    </row>
    <row r="583" spans="1:9" ht="27" x14ac:dyDescent="0.15">
      <c r="A583" s="6">
        <v>582</v>
      </c>
      <c r="B583" s="7" t="s">
        <v>9</v>
      </c>
      <c r="C583" s="8">
        <v>1883</v>
      </c>
      <c r="D583" s="9">
        <v>45395</v>
      </c>
      <c r="E583" s="13" t="str">
        <f>+HYPERLINK("http://trademark.i-assist.jp/data/china/image_1883th/76153930.pdf","76153930")</f>
        <v>76153930</v>
      </c>
      <c r="F583" s="7" t="s">
        <v>1576</v>
      </c>
      <c r="G583" s="7" t="s">
        <v>1577</v>
      </c>
      <c r="H583" s="7" t="s">
        <v>1578</v>
      </c>
      <c r="I583" s="9">
        <v>45293</v>
      </c>
    </row>
    <row r="584" spans="1:9" x14ac:dyDescent="0.15">
      <c r="A584" s="6">
        <v>583</v>
      </c>
      <c r="B584" s="7" t="s">
        <v>9</v>
      </c>
      <c r="C584" s="8">
        <v>1883</v>
      </c>
      <c r="D584" s="9">
        <v>45395</v>
      </c>
      <c r="E584" s="13" t="str">
        <f>+HYPERLINK("http://trademark.i-assist.jp/data/china/image_1883th/76154050.pdf","76154050")</f>
        <v>76154050</v>
      </c>
      <c r="F584" s="7" t="s">
        <v>1579</v>
      </c>
      <c r="G584" s="7" t="s">
        <v>1580</v>
      </c>
      <c r="H584" s="7" t="s">
        <v>1581</v>
      </c>
      <c r="I584" s="9">
        <v>45293</v>
      </c>
    </row>
    <row r="585" spans="1:9" x14ac:dyDescent="0.15">
      <c r="A585" s="6">
        <v>584</v>
      </c>
      <c r="B585" s="7" t="s">
        <v>9</v>
      </c>
      <c r="C585" s="8">
        <v>1883</v>
      </c>
      <c r="D585" s="9">
        <v>45395</v>
      </c>
      <c r="E585" s="13" t="str">
        <f>+HYPERLINK("http://trademark.i-assist.jp/data/china/image_1883th/76154654.pdf","76154654")</f>
        <v>76154654</v>
      </c>
      <c r="F585" s="7" t="s">
        <v>1582</v>
      </c>
      <c r="G585" s="7" t="s">
        <v>1583</v>
      </c>
      <c r="H585" s="7" t="s">
        <v>1584</v>
      </c>
      <c r="I585" s="9">
        <v>45294</v>
      </c>
    </row>
    <row r="586" spans="1:9" x14ac:dyDescent="0.15">
      <c r="A586" s="6">
        <v>585</v>
      </c>
      <c r="B586" s="7" t="s">
        <v>9</v>
      </c>
      <c r="C586" s="8">
        <v>1883</v>
      </c>
      <c r="D586" s="9">
        <v>45395</v>
      </c>
      <c r="E586" s="13" t="str">
        <f>+HYPERLINK("http://trademark.i-assist.jp/data/china/image_1883th/76155331.pdf","76155331")</f>
        <v>76155331</v>
      </c>
      <c r="F586" s="7" t="s">
        <v>1585</v>
      </c>
      <c r="G586" s="7" t="s">
        <v>1586</v>
      </c>
      <c r="H586" s="7" t="s">
        <v>1587</v>
      </c>
      <c r="I586" s="9">
        <v>45294</v>
      </c>
    </row>
    <row r="587" spans="1:9" x14ac:dyDescent="0.15">
      <c r="A587" s="6">
        <v>586</v>
      </c>
      <c r="B587" s="7" t="s">
        <v>9</v>
      </c>
      <c r="C587" s="8">
        <v>1883</v>
      </c>
      <c r="D587" s="9">
        <v>45395</v>
      </c>
      <c r="E587" s="13" t="str">
        <f>+HYPERLINK("http://trademark.i-assist.jp/data/china/image_1883th/76157167.pdf","76157167")</f>
        <v>76157167</v>
      </c>
      <c r="F587" s="7" t="s">
        <v>1588</v>
      </c>
      <c r="G587" s="7" t="s">
        <v>1589</v>
      </c>
      <c r="H587" s="7" t="s">
        <v>1590</v>
      </c>
      <c r="I587" s="9">
        <v>45294</v>
      </c>
    </row>
    <row r="588" spans="1:9" x14ac:dyDescent="0.15">
      <c r="A588" s="6">
        <v>587</v>
      </c>
      <c r="B588" s="7" t="s">
        <v>9</v>
      </c>
      <c r="C588" s="8">
        <v>1883</v>
      </c>
      <c r="D588" s="9">
        <v>45395</v>
      </c>
      <c r="E588" s="13" t="str">
        <f>+HYPERLINK("http://trademark.i-assist.jp/data/china/image_1883th/76157758.pdf","76157758")</f>
        <v>76157758</v>
      </c>
      <c r="F588" s="7" t="s">
        <v>1591</v>
      </c>
      <c r="G588" s="7" t="s">
        <v>1592</v>
      </c>
      <c r="H588" s="7" t="s">
        <v>1593</v>
      </c>
      <c r="I588" s="9">
        <v>45294</v>
      </c>
    </row>
    <row r="589" spans="1:9" x14ac:dyDescent="0.15">
      <c r="A589" s="6">
        <v>588</v>
      </c>
      <c r="B589" s="7" t="s">
        <v>9</v>
      </c>
      <c r="C589" s="8">
        <v>1883</v>
      </c>
      <c r="D589" s="9">
        <v>45395</v>
      </c>
      <c r="E589" s="13" t="str">
        <f>+HYPERLINK("http://trademark.i-assist.jp/data/china/image_1883th/76158373.pdf","76158373")</f>
        <v>76158373</v>
      </c>
      <c r="F589" s="7" t="s">
        <v>1594</v>
      </c>
      <c r="G589" s="7" t="s">
        <v>1595</v>
      </c>
      <c r="H589" s="7" t="s">
        <v>1596</v>
      </c>
      <c r="I589" s="9">
        <v>45294</v>
      </c>
    </row>
    <row r="590" spans="1:9" x14ac:dyDescent="0.15">
      <c r="A590" s="6">
        <v>589</v>
      </c>
      <c r="B590" s="7" t="s">
        <v>9</v>
      </c>
      <c r="C590" s="8">
        <v>1883</v>
      </c>
      <c r="D590" s="9">
        <v>45395</v>
      </c>
      <c r="E590" s="13" t="str">
        <f>+HYPERLINK("http://trademark.i-assist.jp/data/china/image_1883th/76159515.pdf","76159515")</f>
        <v>76159515</v>
      </c>
      <c r="F590" s="7" t="s">
        <v>1597</v>
      </c>
      <c r="G590" s="7" t="s">
        <v>1598</v>
      </c>
      <c r="H590" s="7" t="s">
        <v>1599</v>
      </c>
      <c r="I590" s="9">
        <v>45294</v>
      </c>
    </row>
    <row r="591" spans="1:9" x14ac:dyDescent="0.15">
      <c r="A591" s="6">
        <v>590</v>
      </c>
      <c r="B591" s="7" t="s">
        <v>9</v>
      </c>
      <c r="C591" s="8">
        <v>1883</v>
      </c>
      <c r="D591" s="9">
        <v>45395</v>
      </c>
      <c r="E591" s="13" t="str">
        <f>+HYPERLINK("http://trademark.i-assist.jp/data/china/image_1883th/76160798.pdf","76160798")</f>
        <v>76160798</v>
      </c>
      <c r="F591" s="7" t="s">
        <v>1600</v>
      </c>
      <c r="G591" s="7" t="s">
        <v>1601</v>
      </c>
      <c r="H591" s="7" t="s">
        <v>1602</v>
      </c>
      <c r="I591" s="9">
        <v>45294</v>
      </c>
    </row>
    <row r="592" spans="1:9" x14ac:dyDescent="0.15">
      <c r="A592" s="6">
        <v>591</v>
      </c>
      <c r="B592" s="7" t="s">
        <v>9</v>
      </c>
      <c r="C592" s="8">
        <v>1883</v>
      </c>
      <c r="D592" s="9">
        <v>45395</v>
      </c>
      <c r="E592" s="13" t="str">
        <f>+HYPERLINK("http://trademark.i-assist.jp/data/china/image_1883th/76161194.pdf","76161194")</f>
        <v>76161194</v>
      </c>
      <c r="F592" s="7" t="s">
        <v>1603</v>
      </c>
      <c r="G592" s="7" t="s">
        <v>1604</v>
      </c>
      <c r="H592" s="7" t="s">
        <v>1605</v>
      </c>
      <c r="I592" s="9">
        <v>45294</v>
      </c>
    </row>
    <row r="593" spans="1:9" x14ac:dyDescent="0.15">
      <c r="A593" s="6">
        <v>592</v>
      </c>
      <c r="B593" s="7" t="s">
        <v>9</v>
      </c>
      <c r="C593" s="8">
        <v>1883</v>
      </c>
      <c r="D593" s="9">
        <v>45395</v>
      </c>
      <c r="E593" s="13" t="str">
        <f>+HYPERLINK("http://trademark.i-assist.jp/data/china/image_1883th/76161581.pdf","76161581")</f>
        <v>76161581</v>
      </c>
      <c r="F593" s="7" t="s">
        <v>1606</v>
      </c>
      <c r="G593" s="7" t="s">
        <v>1607</v>
      </c>
      <c r="H593" s="7" t="s">
        <v>1608</v>
      </c>
      <c r="I593" s="9">
        <v>45294</v>
      </c>
    </row>
    <row r="594" spans="1:9" x14ac:dyDescent="0.15">
      <c r="A594" s="6">
        <v>593</v>
      </c>
      <c r="B594" s="7" t="s">
        <v>9</v>
      </c>
      <c r="C594" s="8">
        <v>1883</v>
      </c>
      <c r="D594" s="9">
        <v>45395</v>
      </c>
      <c r="E594" s="13" t="str">
        <f>+HYPERLINK("http://trademark.i-assist.jp/data/china/image_1883th/76163762.pdf","76163762")</f>
        <v>76163762</v>
      </c>
      <c r="F594" s="7" t="s">
        <v>1609</v>
      </c>
      <c r="G594" s="7" t="s">
        <v>1610</v>
      </c>
      <c r="H594" s="7" t="s">
        <v>1611</v>
      </c>
      <c r="I594" s="9">
        <v>45294</v>
      </c>
    </row>
    <row r="595" spans="1:9" ht="27" x14ac:dyDescent="0.15">
      <c r="A595" s="6">
        <v>594</v>
      </c>
      <c r="B595" s="7" t="s">
        <v>9</v>
      </c>
      <c r="C595" s="8">
        <v>1883</v>
      </c>
      <c r="D595" s="9">
        <v>45395</v>
      </c>
      <c r="E595" s="13" t="str">
        <f>+HYPERLINK("http://trademark.i-assist.jp/data/china/image_1883th/76164578.pdf","76164578")</f>
        <v>76164578</v>
      </c>
      <c r="F595" s="7" t="s">
        <v>1612</v>
      </c>
      <c r="G595" s="7" t="s">
        <v>1613</v>
      </c>
      <c r="H595" s="7" t="s">
        <v>1614</v>
      </c>
      <c r="I595" s="9">
        <v>45294</v>
      </c>
    </row>
    <row r="596" spans="1:9" x14ac:dyDescent="0.15">
      <c r="A596" s="6">
        <v>595</v>
      </c>
      <c r="B596" s="7" t="s">
        <v>9</v>
      </c>
      <c r="C596" s="8">
        <v>1883</v>
      </c>
      <c r="D596" s="9">
        <v>45395</v>
      </c>
      <c r="E596" s="13" t="str">
        <f>+HYPERLINK("http://trademark.i-assist.jp/data/china/image_1883th/76164816.pdf","76164816")</f>
        <v>76164816</v>
      </c>
      <c r="F596" s="7" t="s">
        <v>1615</v>
      </c>
      <c r="G596" s="7" t="s">
        <v>1616</v>
      </c>
      <c r="H596" s="7" t="s">
        <v>1617</v>
      </c>
      <c r="I596" s="9">
        <v>45294</v>
      </c>
    </row>
    <row r="597" spans="1:9" x14ac:dyDescent="0.15">
      <c r="A597" s="6">
        <v>596</v>
      </c>
      <c r="B597" s="7" t="s">
        <v>9</v>
      </c>
      <c r="C597" s="8">
        <v>1883</v>
      </c>
      <c r="D597" s="9">
        <v>45395</v>
      </c>
      <c r="E597" s="13" t="str">
        <f>+HYPERLINK("http://trademark.i-assist.jp/data/china/image_1883th/76165474.pdf","76165474")</f>
        <v>76165474</v>
      </c>
      <c r="F597" s="7" t="s">
        <v>1618</v>
      </c>
      <c r="G597" s="7" t="s">
        <v>1619</v>
      </c>
      <c r="H597" s="7" t="s">
        <v>1620</v>
      </c>
      <c r="I597" s="9">
        <v>45294</v>
      </c>
    </row>
    <row r="598" spans="1:9" x14ac:dyDescent="0.15">
      <c r="A598" s="6">
        <v>597</v>
      </c>
      <c r="B598" s="7" t="s">
        <v>9</v>
      </c>
      <c r="C598" s="8">
        <v>1883</v>
      </c>
      <c r="D598" s="9">
        <v>45395</v>
      </c>
      <c r="E598" s="13" t="str">
        <f>+HYPERLINK("http://trademark.i-assist.jp/data/china/image_1883th/76165593.pdf","76165593")</f>
        <v>76165593</v>
      </c>
      <c r="F598" s="7" t="s">
        <v>1621</v>
      </c>
      <c r="G598" s="7" t="s">
        <v>1622</v>
      </c>
      <c r="H598" s="7" t="s">
        <v>1623</v>
      </c>
      <c r="I598" s="9">
        <v>45294</v>
      </c>
    </row>
    <row r="599" spans="1:9" x14ac:dyDescent="0.15">
      <c r="A599" s="6">
        <v>598</v>
      </c>
      <c r="B599" s="7" t="s">
        <v>9</v>
      </c>
      <c r="C599" s="8">
        <v>1883</v>
      </c>
      <c r="D599" s="9">
        <v>45395</v>
      </c>
      <c r="E599" s="13" t="str">
        <f>+HYPERLINK("http://trademark.i-assist.jp/data/china/image_1883th/76165608.pdf","76165608")</f>
        <v>76165608</v>
      </c>
      <c r="F599" s="7" t="s">
        <v>1624</v>
      </c>
      <c r="G599" s="7" t="s">
        <v>1625</v>
      </c>
      <c r="H599" s="7" t="s">
        <v>1626</v>
      </c>
      <c r="I599" s="9">
        <v>45294</v>
      </c>
    </row>
    <row r="600" spans="1:9" x14ac:dyDescent="0.15">
      <c r="A600" s="6">
        <v>599</v>
      </c>
      <c r="B600" s="7" t="s">
        <v>9</v>
      </c>
      <c r="C600" s="8">
        <v>1883</v>
      </c>
      <c r="D600" s="9">
        <v>45395</v>
      </c>
      <c r="E600" s="13" t="str">
        <f>+HYPERLINK("http://trademark.i-assist.jp/data/china/image_1883th/76165833.pdf","76165833")</f>
        <v>76165833</v>
      </c>
      <c r="F600" s="7" t="s">
        <v>1627</v>
      </c>
      <c r="G600" s="7" t="s">
        <v>1628</v>
      </c>
      <c r="H600" s="7" t="s">
        <v>1629</v>
      </c>
      <c r="I600" s="9">
        <v>45294</v>
      </c>
    </row>
    <row r="601" spans="1:9" x14ac:dyDescent="0.15">
      <c r="A601" s="6">
        <v>600</v>
      </c>
      <c r="B601" s="7" t="s">
        <v>9</v>
      </c>
      <c r="C601" s="8">
        <v>1883</v>
      </c>
      <c r="D601" s="9">
        <v>45395</v>
      </c>
      <c r="E601" s="13" t="str">
        <f>+HYPERLINK("http://trademark.i-assist.jp/data/china/image_1883th/76165983.pdf","76165983")</f>
        <v>76165983</v>
      </c>
      <c r="F601" s="7" t="s">
        <v>1630</v>
      </c>
      <c r="G601" s="7" t="s">
        <v>1631</v>
      </c>
      <c r="H601" s="7" t="s">
        <v>1632</v>
      </c>
      <c r="I601" s="9">
        <v>45294</v>
      </c>
    </row>
    <row r="602" spans="1:9" x14ac:dyDescent="0.15">
      <c r="A602" s="6">
        <v>601</v>
      </c>
      <c r="B602" s="7" t="s">
        <v>9</v>
      </c>
      <c r="C602" s="8">
        <v>1883</v>
      </c>
      <c r="D602" s="9">
        <v>45395</v>
      </c>
      <c r="E602" s="13" t="str">
        <f>+HYPERLINK("http://trademark.i-assist.jp/data/china/image_1883th/76166047.pdf","76166047")</f>
        <v>76166047</v>
      </c>
      <c r="F602" s="7" t="s">
        <v>1633</v>
      </c>
      <c r="G602" s="7" t="s">
        <v>1634</v>
      </c>
      <c r="H602" s="7" t="s">
        <v>1635</v>
      </c>
      <c r="I602" s="9">
        <v>45294</v>
      </c>
    </row>
    <row r="603" spans="1:9" x14ac:dyDescent="0.15">
      <c r="A603" s="6">
        <v>602</v>
      </c>
      <c r="B603" s="7" t="s">
        <v>9</v>
      </c>
      <c r="C603" s="8">
        <v>1883</v>
      </c>
      <c r="D603" s="9">
        <v>45395</v>
      </c>
      <c r="E603" s="13" t="str">
        <f>+HYPERLINK("http://trademark.i-assist.jp/data/china/image_1883th/76167543.pdf","76167543")</f>
        <v>76167543</v>
      </c>
      <c r="F603" s="7" t="s">
        <v>57</v>
      </c>
      <c r="G603" s="7" t="s">
        <v>1636</v>
      </c>
      <c r="H603" s="7" t="s">
        <v>1637</v>
      </c>
      <c r="I603" s="9">
        <v>45294</v>
      </c>
    </row>
    <row r="604" spans="1:9" x14ac:dyDescent="0.15">
      <c r="A604" s="6">
        <v>603</v>
      </c>
      <c r="B604" s="7" t="s">
        <v>9</v>
      </c>
      <c r="C604" s="8">
        <v>1883</v>
      </c>
      <c r="D604" s="9">
        <v>45395</v>
      </c>
      <c r="E604" s="13" t="str">
        <f>+HYPERLINK("http://trademark.i-assist.jp/data/china/image_1883th/76167692.pdf","76167692")</f>
        <v>76167692</v>
      </c>
      <c r="F604" s="7" t="s">
        <v>1638</v>
      </c>
      <c r="G604" s="7" t="s">
        <v>1639</v>
      </c>
      <c r="H604" s="7" t="s">
        <v>1640</v>
      </c>
      <c r="I604" s="9">
        <v>45294</v>
      </c>
    </row>
    <row r="605" spans="1:9" x14ac:dyDescent="0.15">
      <c r="A605" s="6">
        <v>604</v>
      </c>
      <c r="B605" s="7" t="s">
        <v>9</v>
      </c>
      <c r="C605" s="8">
        <v>1883</v>
      </c>
      <c r="D605" s="9">
        <v>45395</v>
      </c>
      <c r="E605" s="13" t="str">
        <f>+HYPERLINK("http://trademark.i-assist.jp/data/china/image_1883th/76167707.pdf","76167707")</f>
        <v>76167707</v>
      </c>
      <c r="F605" s="7" t="s">
        <v>1641</v>
      </c>
      <c r="G605" s="7" t="s">
        <v>1642</v>
      </c>
      <c r="H605" s="7" t="s">
        <v>1643</v>
      </c>
      <c r="I605" s="9">
        <v>45294</v>
      </c>
    </row>
    <row r="606" spans="1:9" x14ac:dyDescent="0.15">
      <c r="A606" s="6">
        <v>605</v>
      </c>
      <c r="B606" s="7" t="s">
        <v>9</v>
      </c>
      <c r="C606" s="8">
        <v>1883</v>
      </c>
      <c r="D606" s="9">
        <v>45395</v>
      </c>
      <c r="E606" s="13" t="str">
        <f>+HYPERLINK("http://trademark.i-assist.jp/data/china/image_1883th/76168025.pdf","76168025")</f>
        <v>76168025</v>
      </c>
      <c r="F606" s="7" t="s">
        <v>1644</v>
      </c>
      <c r="G606" s="7" t="s">
        <v>1645</v>
      </c>
      <c r="H606" s="7" t="s">
        <v>1646</v>
      </c>
      <c r="I606" s="9">
        <v>45294</v>
      </c>
    </row>
    <row r="607" spans="1:9" x14ac:dyDescent="0.15">
      <c r="A607" s="6">
        <v>606</v>
      </c>
      <c r="B607" s="7" t="s">
        <v>9</v>
      </c>
      <c r="C607" s="8">
        <v>1883</v>
      </c>
      <c r="D607" s="9">
        <v>45395</v>
      </c>
      <c r="E607" s="13" t="str">
        <f>+HYPERLINK("http://trademark.i-assist.jp/data/china/image_1883th/76168026.pdf","76168026")</f>
        <v>76168026</v>
      </c>
      <c r="F607" s="7" t="s">
        <v>1647</v>
      </c>
      <c r="G607" s="7" t="s">
        <v>1616</v>
      </c>
      <c r="H607" s="7" t="s">
        <v>1648</v>
      </c>
      <c r="I607" s="9">
        <v>45294</v>
      </c>
    </row>
    <row r="608" spans="1:9" x14ac:dyDescent="0.15">
      <c r="A608" s="6">
        <v>607</v>
      </c>
      <c r="B608" s="7" t="s">
        <v>9</v>
      </c>
      <c r="C608" s="8">
        <v>1883</v>
      </c>
      <c r="D608" s="9">
        <v>45395</v>
      </c>
      <c r="E608" s="13" t="str">
        <f>+HYPERLINK("http://trademark.i-assist.jp/data/china/image_1883th/76168038.pdf","76168038")</f>
        <v>76168038</v>
      </c>
      <c r="F608" s="7" t="s">
        <v>1649</v>
      </c>
      <c r="G608" s="7" t="s">
        <v>1616</v>
      </c>
      <c r="H608" s="7" t="s">
        <v>1650</v>
      </c>
      <c r="I608" s="9">
        <v>45294</v>
      </c>
    </row>
    <row r="609" spans="1:9" x14ac:dyDescent="0.15">
      <c r="A609" s="6">
        <v>608</v>
      </c>
      <c r="B609" s="7" t="s">
        <v>9</v>
      </c>
      <c r="C609" s="8">
        <v>1883</v>
      </c>
      <c r="D609" s="9">
        <v>45395</v>
      </c>
      <c r="E609" s="13" t="str">
        <f>+HYPERLINK("http://trademark.i-assist.jp/data/china/image_1883th/76168482.pdf","76168482")</f>
        <v>76168482</v>
      </c>
      <c r="F609" s="7" t="s">
        <v>1651</v>
      </c>
      <c r="G609" s="7" t="s">
        <v>1652</v>
      </c>
      <c r="H609" s="7" t="s">
        <v>1653</v>
      </c>
      <c r="I609" s="9">
        <v>45294</v>
      </c>
    </row>
    <row r="610" spans="1:9" x14ac:dyDescent="0.15">
      <c r="A610" s="6">
        <v>609</v>
      </c>
      <c r="B610" s="7" t="s">
        <v>9</v>
      </c>
      <c r="C610" s="8">
        <v>1883</v>
      </c>
      <c r="D610" s="9">
        <v>45395</v>
      </c>
      <c r="E610" s="13" t="str">
        <f>+HYPERLINK("http://trademark.i-assist.jp/data/china/image_1883th/76168604.pdf","76168604")</f>
        <v>76168604</v>
      </c>
      <c r="F610" s="7" t="s">
        <v>1654</v>
      </c>
      <c r="G610" s="7" t="s">
        <v>1655</v>
      </c>
      <c r="H610" s="7" t="s">
        <v>1656</v>
      </c>
      <c r="I610" s="9">
        <v>45294</v>
      </c>
    </row>
    <row r="611" spans="1:9" x14ac:dyDescent="0.15">
      <c r="A611" s="6">
        <v>610</v>
      </c>
      <c r="B611" s="7" t="s">
        <v>9</v>
      </c>
      <c r="C611" s="8">
        <v>1883</v>
      </c>
      <c r="D611" s="9">
        <v>45395</v>
      </c>
      <c r="E611" s="13" t="str">
        <f>+HYPERLINK("http://trademark.i-assist.jp/data/china/image_1883th/76168612.pdf","76168612")</f>
        <v>76168612</v>
      </c>
      <c r="F611" s="7" t="s">
        <v>1657</v>
      </c>
      <c r="G611" s="7" t="s">
        <v>1655</v>
      </c>
      <c r="H611" s="7" t="s">
        <v>1658</v>
      </c>
      <c r="I611" s="9">
        <v>45294</v>
      </c>
    </row>
    <row r="612" spans="1:9" ht="27" x14ac:dyDescent="0.15">
      <c r="A612" s="6">
        <v>611</v>
      </c>
      <c r="B612" s="7" t="s">
        <v>9</v>
      </c>
      <c r="C612" s="8">
        <v>1883</v>
      </c>
      <c r="D612" s="9">
        <v>45395</v>
      </c>
      <c r="E612" s="13" t="str">
        <f>+HYPERLINK("http://trademark.i-assist.jp/data/china/image_1883th/76168639.pdf","76168639")</f>
        <v>76168639</v>
      </c>
      <c r="F612" s="7" t="s">
        <v>1659</v>
      </c>
      <c r="G612" s="7" t="s">
        <v>1660</v>
      </c>
      <c r="H612" s="7" t="s">
        <v>1661</v>
      </c>
      <c r="I612" s="9">
        <v>45294</v>
      </c>
    </row>
    <row r="613" spans="1:9" x14ac:dyDescent="0.15">
      <c r="A613" s="6">
        <v>612</v>
      </c>
      <c r="B613" s="7" t="s">
        <v>9</v>
      </c>
      <c r="C613" s="8">
        <v>1883</v>
      </c>
      <c r="D613" s="9">
        <v>45395</v>
      </c>
      <c r="E613" s="13" t="str">
        <f>+HYPERLINK("http://trademark.i-assist.jp/data/china/image_1883th/76169152.pdf","76169152")</f>
        <v>76169152</v>
      </c>
      <c r="F613" s="7" t="s">
        <v>1662</v>
      </c>
      <c r="G613" s="7" t="s">
        <v>1663</v>
      </c>
      <c r="H613" s="7" t="s">
        <v>1664</v>
      </c>
      <c r="I613" s="9">
        <v>45294</v>
      </c>
    </row>
    <row r="614" spans="1:9" x14ac:dyDescent="0.15">
      <c r="A614" s="6">
        <v>613</v>
      </c>
      <c r="B614" s="7" t="s">
        <v>9</v>
      </c>
      <c r="C614" s="8">
        <v>1883</v>
      </c>
      <c r="D614" s="9">
        <v>45395</v>
      </c>
      <c r="E614" s="13" t="str">
        <f>+HYPERLINK("http://trademark.i-assist.jp/data/china/image_1883th/76170139.pdf","76170139")</f>
        <v>76170139</v>
      </c>
      <c r="F614" s="7" t="s">
        <v>1665</v>
      </c>
      <c r="G614" s="7" t="s">
        <v>1666</v>
      </c>
      <c r="H614" s="7" t="s">
        <v>1667</v>
      </c>
      <c r="I614" s="9">
        <v>45294</v>
      </c>
    </row>
    <row r="615" spans="1:9" x14ac:dyDescent="0.15">
      <c r="A615" s="6">
        <v>614</v>
      </c>
      <c r="B615" s="7" t="s">
        <v>9</v>
      </c>
      <c r="C615" s="8">
        <v>1883</v>
      </c>
      <c r="D615" s="9">
        <v>45395</v>
      </c>
      <c r="E615" s="13" t="str">
        <f>+HYPERLINK("http://trademark.i-assist.jp/data/china/image_1883th/76170658.pdf","76170658")</f>
        <v>76170658</v>
      </c>
      <c r="F615" s="7" t="s">
        <v>1668</v>
      </c>
      <c r="G615" s="7" t="s">
        <v>1669</v>
      </c>
      <c r="H615" s="7" t="s">
        <v>1670</v>
      </c>
      <c r="I615" s="9">
        <v>45294</v>
      </c>
    </row>
    <row r="616" spans="1:9" x14ac:dyDescent="0.15">
      <c r="A616" s="6">
        <v>615</v>
      </c>
      <c r="B616" s="7" t="s">
        <v>9</v>
      </c>
      <c r="C616" s="8">
        <v>1883</v>
      </c>
      <c r="D616" s="9">
        <v>45395</v>
      </c>
      <c r="E616" s="13" t="str">
        <f>+HYPERLINK("http://trademark.i-assist.jp/data/china/image_1883th/76171284.pdf","76171284")</f>
        <v>76171284</v>
      </c>
      <c r="F616" s="7" t="s">
        <v>1671</v>
      </c>
      <c r="G616" s="7" t="s">
        <v>1672</v>
      </c>
      <c r="H616" s="7" t="s">
        <v>1673</v>
      </c>
      <c r="I616" s="9">
        <v>45294</v>
      </c>
    </row>
    <row r="617" spans="1:9" x14ac:dyDescent="0.15">
      <c r="A617" s="6">
        <v>616</v>
      </c>
      <c r="B617" s="7" t="s">
        <v>9</v>
      </c>
      <c r="C617" s="8">
        <v>1883</v>
      </c>
      <c r="D617" s="9">
        <v>45395</v>
      </c>
      <c r="E617" s="13" t="str">
        <f>+HYPERLINK("http://trademark.i-assist.jp/data/china/image_1883th/76171344.pdf","76171344")</f>
        <v>76171344</v>
      </c>
      <c r="F617" s="7" t="s">
        <v>1674</v>
      </c>
      <c r="G617" s="7" t="s">
        <v>1675</v>
      </c>
      <c r="H617" s="7" t="s">
        <v>1676</v>
      </c>
      <c r="I617" s="9">
        <v>45294</v>
      </c>
    </row>
    <row r="618" spans="1:9" x14ac:dyDescent="0.15">
      <c r="A618" s="6">
        <v>617</v>
      </c>
      <c r="B618" s="7" t="s">
        <v>9</v>
      </c>
      <c r="C618" s="8">
        <v>1883</v>
      </c>
      <c r="D618" s="9">
        <v>45395</v>
      </c>
      <c r="E618" s="13" t="str">
        <f>+HYPERLINK("http://trademark.i-assist.jp/data/china/image_1883th/76171467.pdf","76171467")</f>
        <v>76171467</v>
      </c>
      <c r="F618" s="7" t="s">
        <v>1677</v>
      </c>
      <c r="G618" s="7" t="s">
        <v>1678</v>
      </c>
      <c r="H618" s="7" t="s">
        <v>1679</v>
      </c>
      <c r="I618" s="9">
        <v>45294</v>
      </c>
    </row>
    <row r="619" spans="1:9" x14ac:dyDescent="0.15">
      <c r="A619" s="6">
        <v>618</v>
      </c>
      <c r="B619" s="7" t="s">
        <v>9</v>
      </c>
      <c r="C619" s="8">
        <v>1883</v>
      </c>
      <c r="D619" s="9">
        <v>45395</v>
      </c>
      <c r="E619" s="13" t="str">
        <f>+HYPERLINK("http://trademark.i-assist.jp/data/china/image_1883th/76171712.pdf","76171712")</f>
        <v>76171712</v>
      </c>
      <c r="F619" s="7" t="s">
        <v>1680</v>
      </c>
      <c r="G619" s="7" t="s">
        <v>1681</v>
      </c>
      <c r="H619" s="7" t="s">
        <v>1682</v>
      </c>
      <c r="I619" s="9">
        <v>45294</v>
      </c>
    </row>
    <row r="620" spans="1:9" ht="27" x14ac:dyDescent="0.15">
      <c r="A620" s="6">
        <v>619</v>
      </c>
      <c r="B620" s="7" t="s">
        <v>9</v>
      </c>
      <c r="C620" s="8">
        <v>1883</v>
      </c>
      <c r="D620" s="9">
        <v>45395</v>
      </c>
      <c r="E620" s="13" t="str">
        <f>+HYPERLINK("http://trademark.i-assist.jp/data/china/image_1883th/76172467.pdf","76172467")</f>
        <v>76172467</v>
      </c>
      <c r="F620" s="7" t="s">
        <v>1683</v>
      </c>
      <c r="G620" s="7" t="s">
        <v>1684</v>
      </c>
      <c r="H620" s="7" t="s">
        <v>1685</v>
      </c>
      <c r="I620" s="9">
        <v>45294</v>
      </c>
    </row>
    <row r="621" spans="1:9" x14ac:dyDescent="0.15">
      <c r="A621" s="6">
        <v>620</v>
      </c>
      <c r="B621" s="7" t="s">
        <v>9</v>
      </c>
      <c r="C621" s="8">
        <v>1883</v>
      </c>
      <c r="D621" s="9">
        <v>45395</v>
      </c>
      <c r="E621" s="13" t="str">
        <f>+HYPERLINK("http://trademark.i-assist.jp/data/china/image_1883th/76172586.pdf","76172586")</f>
        <v>76172586</v>
      </c>
      <c r="F621" s="7" t="s">
        <v>1686</v>
      </c>
      <c r="G621" s="7" t="s">
        <v>1686</v>
      </c>
      <c r="H621" s="7" t="s">
        <v>1687</v>
      </c>
      <c r="I621" s="9">
        <v>45294</v>
      </c>
    </row>
    <row r="622" spans="1:9" x14ac:dyDescent="0.15">
      <c r="A622" s="6">
        <v>621</v>
      </c>
      <c r="B622" s="7" t="s">
        <v>9</v>
      </c>
      <c r="C622" s="8">
        <v>1883</v>
      </c>
      <c r="D622" s="9">
        <v>45395</v>
      </c>
      <c r="E622" s="13" t="str">
        <f>+HYPERLINK("http://trademark.i-assist.jp/data/china/image_1883th/76172654.pdf","76172654")</f>
        <v>76172654</v>
      </c>
      <c r="F622" s="7" t="s">
        <v>1688</v>
      </c>
      <c r="G622" s="7" t="s">
        <v>1689</v>
      </c>
      <c r="H622" s="7" t="s">
        <v>1690</v>
      </c>
      <c r="I622" s="9">
        <v>45294</v>
      </c>
    </row>
    <row r="623" spans="1:9" x14ac:dyDescent="0.15">
      <c r="A623" s="6">
        <v>622</v>
      </c>
      <c r="B623" s="7" t="s">
        <v>9</v>
      </c>
      <c r="C623" s="8">
        <v>1883</v>
      </c>
      <c r="D623" s="9">
        <v>45395</v>
      </c>
      <c r="E623" s="13" t="str">
        <f>+HYPERLINK("http://trademark.i-assist.jp/data/china/image_1883th/76172690.pdf","76172690")</f>
        <v>76172690</v>
      </c>
      <c r="F623" s="7" t="s">
        <v>57</v>
      </c>
      <c r="G623" s="7" t="s">
        <v>1691</v>
      </c>
      <c r="H623" s="7" t="s">
        <v>1692</v>
      </c>
      <c r="I623" s="9">
        <v>45294</v>
      </c>
    </row>
    <row r="624" spans="1:9" x14ac:dyDescent="0.15">
      <c r="A624" s="6">
        <v>623</v>
      </c>
      <c r="B624" s="7" t="s">
        <v>9</v>
      </c>
      <c r="C624" s="8">
        <v>1883</v>
      </c>
      <c r="D624" s="9">
        <v>45395</v>
      </c>
      <c r="E624" s="13" t="str">
        <f>+HYPERLINK("http://trademark.i-assist.jp/data/china/image_1883th/76173278.pdf","76173278")</f>
        <v>76173278</v>
      </c>
      <c r="F624" s="7" t="s">
        <v>1693</v>
      </c>
      <c r="G624" s="7" t="s">
        <v>1694</v>
      </c>
      <c r="H624" s="7" t="s">
        <v>1695</v>
      </c>
      <c r="I624" s="9">
        <v>45294</v>
      </c>
    </row>
    <row r="625" spans="1:9" x14ac:dyDescent="0.15">
      <c r="A625" s="6">
        <v>624</v>
      </c>
      <c r="B625" s="7" t="s">
        <v>9</v>
      </c>
      <c r="C625" s="8">
        <v>1883</v>
      </c>
      <c r="D625" s="9">
        <v>45395</v>
      </c>
      <c r="E625" s="13" t="str">
        <f>+HYPERLINK("http://trademark.i-assist.jp/data/china/image_1883th/76173783.pdf","76173783")</f>
        <v>76173783</v>
      </c>
      <c r="F625" s="7" t="s">
        <v>1696</v>
      </c>
      <c r="G625" s="7" t="s">
        <v>1697</v>
      </c>
      <c r="H625" s="7" t="s">
        <v>1698</v>
      </c>
      <c r="I625" s="9">
        <v>45294</v>
      </c>
    </row>
    <row r="626" spans="1:9" x14ac:dyDescent="0.15">
      <c r="A626" s="6">
        <v>625</v>
      </c>
      <c r="B626" s="7" t="s">
        <v>9</v>
      </c>
      <c r="C626" s="8">
        <v>1883</v>
      </c>
      <c r="D626" s="9">
        <v>45395</v>
      </c>
      <c r="E626" s="13" t="str">
        <f>+HYPERLINK("http://trademark.i-assist.jp/data/china/image_1883th/76174436.pdf","76174436")</f>
        <v>76174436</v>
      </c>
      <c r="F626" s="7" t="s">
        <v>1699</v>
      </c>
      <c r="G626" s="7" t="s">
        <v>1700</v>
      </c>
      <c r="H626" s="7" t="s">
        <v>1701</v>
      </c>
      <c r="I626" s="9">
        <v>45294</v>
      </c>
    </row>
    <row r="627" spans="1:9" ht="27" x14ac:dyDescent="0.15">
      <c r="A627" s="6">
        <v>626</v>
      </c>
      <c r="B627" s="7" t="s">
        <v>9</v>
      </c>
      <c r="C627" s="8">
        <v>1883</v>
      </c>
      <c r="D627" s="9">
        <v>45395</v>
      </c>
      <c r="E627" s="13" t="str">
        <f>+HYPERLINK("http://trademark.i-assist.jp/data/china/image_1883th/76174795.pdf","76174795")</f>
        <v>76174795</v>
      </c>
      <c r="F627" s="7" t="s">
        <v>1702</v>
      </c>
      <c r="G627" s="7" t="s">
        <v>1684</v>
      </c>
      <c r="H627" s="7" t="s">
        <v>1703</v>
      </c>
      <c r="I627" s="9">
        <v>45294</v>
      </c>
    </row>
    <row r="628" spans="1:9" x14ac:dyDescent="0.15">
      <c r="A628" s="6">
        <v>627</v>
      </c>
      <c r="B628" s="7" t="s">
        <v>9</v>
      </c>
      <c r="C628" s="8">
        <v>1883</v>
      </c>
      <c r="D628" s="9">
        <v>45395</v>
      </c>
      <c r="E628" s="13" t="str">
        <f>+HYPERLINK("http://trademark.i-assist.jp/data/china/image_1883th/76174823.pdf","76174823")</f>
        <v>76174823</v>
      </c>
      <c r="F628" s="7" t="s">
        <v>1704</v>
      </c>
      <c r="G628" s="7" t="s">
        <v>1705</v>
      </c>
      <c r="H628" s="7" t="s">
        <v>1706</v>
      </c>
      <c r="I628" s="9">
        <v>45294</v>
      </c>
    </row>
    <row r="629" spans="1:9" x14ac:dyDescent="0.15">
      <c r="A629" s="6">
        <v>628</v>
      </c>
      <c r="B629" s="7" t="s">
        <v>9</v>
      </c>
      <c r="C629" s="8">
        <v>1883</v>
      </c>
      <c r="D629" s="9">
        <v>45395</v>
      </c>
      <c r="E629" s="13" t="str">
        <f>+HYPERLINK("http://trademark.i-assist.jp/data/china/image_1883th/76174992.pdf","76174992")</f>
        <v>76174992</v>
      </c>
      <c r="F629" s="7" t="s">
        <v>1707</v>
      </c>
      <c r="G629" s="7" t="s">
        <v>1708</v>
      </c>
      <c r="H629" s="7" t="s">
        <v>1709</v>
      </c>
      <c r="I629" s="9">
        <v>45294</v>
      </c>
    </row>
    <row r="630" spans="1:9" x14ac:dyDescent="0.15">
      <c r="A630" s="6">
        <v>629</v>
      </c>
      <c r="B630" s="7" t="s">
        <v>9</v>
      </c>
      <c r="C630" s="8">
        <v>1883</v>
      </c>
      <c r="D630" s="9">
        <v>45395</v>
      </c>
      <c r="E630" s="13" t="str">
        <f>+HYPERLINK("http://trademark.i-assist.jp/data/china/image_1883th/76175016.pdf","76175016")</f>
        <v>76175016</v>
      </c>
      <c r="F630" s="7" t="s">
        <v>1710</v>
      </c>
      <c r="G630" s="7" t="s">
        <v>1711</v>
      </c>
      <c r="H630" s="7" t="s">
        <v>1712</v>
      </c>
      <c r="I630" s="9">
        <v>45294</v>
      </c>
    </row>
    <row r="631" spans="1:9" x14ac:dyDescent="0.15">
      <c r="A631" s="6">
        <v>630</v>
      </c>
      <c r="B631" s="7" t="s">
        <v>9</v>
      </c>
      <c r="C631" s="8">
        <v>1883</v>
      </c>
      <c r="D631" s="9">
        <v>45395</v>
      </c>
      <c r="E631" s="13" t="str">
        <f>+HYPERLINK("http://trademark.i-assist.jp/data/china/image_1883th/76175332.pdf","76175332")</f>
        <v>76175332</v>
      </c>
      <c r="F631" s="7" t="s">
        <v>57</v>
      </c>
      <c r="G631" s="7" t="s">
        <v>1713</v>
      </c>
      <c r="H631" s="7" t="s">
        <v>1714</v>
      </c>
      <c r="I631" s="9">
        <v>45294</v>
      </c>
    </row>
    <row r="632" spans="1:9" x14ac:dyDescent="0.15">
      <c r="A632" s="6">
        <v>631</v>
      </c>
      <c r="B632" s="7" t="s">
        <v>9</v>
      </c>
      <c r="C632" s="8">
        <v>1883</v>
      </c>
      <c r="D632" s="9">
        <v>45395</v>
      </c>
      <c r="E632" s="13" t="str">
        <f>+HYPERLINK("http://trademark.i-assist.jp/data/china/image_1883th/76175852.pdf","76175852")</f>
        <v>76175852</v>
      </c>
      <c r="F632" s="7" t="s">
        <v>1715</v>
      </c>
      <c r="G632" s="7" t="s">
        <v>1716</v>
      </c>
      <c r="H632" s="7" t="s">
        <v>1717</v>
      </c>
      <c r="I632" s="9">
        <v>45294</v>
      </c>
    </row>
    <row r="633" spans="1:9" x14ac:dyDescent="0.15">
      <c r="A633" s="6">
        <v>632</v>
      </c>
      <c r="B633" s="7" t="s">
        <v>9</v>
      </c>
      <c r="C633" s="8">
        <v>1883</v>
      </c>
      <c r="D633" s="9">
        <v>45395</v>
      </c>
      <c r="E633" s="13" t="str">
        <f>+HYPERLINK("http://trademark.i-assist.jp/data/china/image_1883th/76177083.pdf","76177083")</f>
        <v>76177083</v>
      </c>
      <c r="F633" s="7" t="s">
        <v>1718</v>
      </c>
      <c r="G633" s="7" t="s">
        <v>1719</v>
      </c>
      <c r="H633" s="7" t="s">
        <v>1720</v>
      </c>
      <c r="I633" s="9">
        <v>45294</v>
      </c>
    </row>
    <row r="634" spans="1:9" x14ac:dyDescent="0.15">
      <c r="A634" s="6">
        <v>633</v>
      </c>
      <c r="B634" s="7" t="s">
        <v>9</v>
      </c>
      <c r="C634" s="8">
        <v>1883</v>
      </c>
      <c r="D634" s="9">
        <v>45395</v>
      </c>
      <c r="E634" s="13" t="str">
        <f>+HYPERLINK("http://trademark.i-assist.jp/data/china/image_1883th/76177090.pdf","76177090")</f>
        <v>76177090</v>
      </c>
      <c r="F634" s="7" t="s">
        <v>1721</v>
      </c>
      <c r="G634" s="7" t="s">
        <v>1722</v>
      </c>
      <c r="H634" s="7" t="s">
        <v>1723</v>
      </c>
      <c r="I634" s="9">
        <v>45294</v>
      </c>
    </row>
    <row r="635" spans="1:9" x14ac:dyDescent="0.15">
      <c r="A635" s="6">
        <v>634</v>
      </c>
      <c r="B635" s="7" t="s">
        <v>9</v>
      </c>
      <c r="C635" s="8">
        <v>1883</v>
      </c>
      <c r="D635" s="9">
        <v>45395</v>
      </c>
      <c r="E635" s="13" t="str">
        <f>+HYPERLINK("http://trademark.i-assist.jp/data/china/image_1883th/76177221.pdf","76177221")</f>
        <v>76177221</v>
      </c>
      <c r="F635" s="7" t="s">
        <v>1724</v>
      </c>
      <c r="G635" s="7" t="s">
        <v>1725</v>
      </c>
      <c r="H635" s="7" t="s">
        <v>1726</v>
      </c>
      <c r="I635" s="9">
        <v>45294</v>
      </c>
    </row>
    <row r="636" spans="1:9" x14ac:dyDescent="0.15">
      <c r="A636" s="6">
        <v>635</v>
      </c>
      <c r="B636" s="7" t="s">
        <v>9</v>
      </c>
      <c r="C636" s="8">
        <v>1883</v>
      </c>
      <c r="D636" s="9">
        <v>45395</v>
      </c>
      <c r="E636" s="13" t="str">
        <f>+HYPERLINK("http://trademark.i-assist.jp/data/china/image_1883th/76178063.pdf","76178063")</f>
        <v>76178063</v>
      </c>
      <c r="F636" s="7" t="s">
        <v>1727</v>
      </c>
      <c r="G636" s="7" t="s">
        <v>1728</v>
      </c>
      <c r="H636" s="7" t="s">
        <v>1729</v>
      </c>
      <c r="I636" s="9">
        <v>45294</v>
      </c>
    </row>
    <row r="637" spans="1:9" x14ac:dyDescent="0.15">
      <c r="A637" s="6">
        <v>636</v>
      </c>
      <c r="B637" s="7" t="s">
        <v>9</v>
      </c>
      <c r="C637" s="8">
        <v>1883</v>
      </c>
      <c r="D637" s="9">
        <v>45395</v>
      </c>
      <c r="E637" s="13" t="str">
        <f>+HYPERLINK("http://trademark.i-assist.jp/data/china/image_1883th/76178689.pdf","76178689")</f>
        <v>76178689</v>
      </c>
      <c r="F637" s="7" t="s">
        <v>1730</v>
      </c>
      <c r="G637" s="7" t="s">
        <v>1731</v>
      </c>
      <c r="H637" s="7" t="s">
        <v>1732</v>
      </c>
      <c r="I637" s="9">
        <v>45294</v>
      </c>
    </row>
    <row r="638" spans="1:9" x14ac:dyDescent="0.15">
      <c r="A638" s="6">
        <v>637</v>
      </c>
      <c r="B638" s="7" t="s">
        <v>9</v>
      </c>
      <c r="C638" s="8">
        <v>1883</v>
      </c>
      <c r="D638" s="9">
        <v>45395</v>
      </c>
      <c r="E638" s="13" t="str">
        <f>+HYPERLINK("http://trademark.i-assist.jp/data/china/image_1883th/76179386.pdf","76179386")</f>
        <v>76179386</v>
      </c>
      <c r="F638" s="7" t="s">
        <v>1733</v>
      </c>
      <c r="G638" s="7" t="s">
        <v>1734</v>
      </c>
      <c r="H638" s="7" t="s">
        <v>1735</v>
      </c>
      <c r="I638" s="9">
        <v>45294</v>
      </c>
    </row>
    <row r="639" spans="1:9" x14ac:dyDescent="0.15">
      <c r="A639" s="6">
        <v>638</v>
      </c>
      <c r="B639" s="7" t="s">
        <v>9</v>
      </c>
      <c r="C639" s="8">
        <v>1883</v>
      </c>
      <c r="D639" s="9">
        <v>45395</v>
      </c>
      <c r="E639" s="13" t="str">
        <f>+HYPERLINK("http://trademark.i-assist.jp/data/china/image_1883th/76181336.pdf","76181336")</f>
        <v>76181336</v>
      </c>
      <c r="F639" s="7" t="s">
        <v>1736</v>
      </c>
      <c r="G639" s="7" t="s">
        <v>1737</v>
      </c>
      <c r="H639" s="7" t="s">
        <v>1738</v>
      </c>
      <c r="I639" s="9">
        <v>45295</v>
      </c>
    </row>
    <row r="640" spans="1:9" x14ac:dyDescent="0.15">
      <c r="A640" s="6">
        <v>639</v>
      </c>
      <c r="B640" s="7" t="s">
        <v>9</v>
      </c>
      <c r="C640" s="8">
        <v>1883</v>
      </c>
      <c r="D640" s="9">
        <v>45395</v>
      </c>
      <c r="E640" s="13" t="str">
        <f>+HYPERLINK("http://trademark.i-assist.jp/data/china/image_1883th/76181481.pdf","76181481")</f>
        <v>76181481</v>
      </c>
      <c r="F640" s="7" t="s">
        <v>57</v>
      </c>
      <c r="G640" s="7" t="s">
        <v>1739</v>
      </c>
      <c r="H640" s="7" t="s">
        <v>1740</v>
      </c>
      <c r="I640" s="9">
        <v>45295</v>
      </c>
    </row>
    <row r="641" spans="1:9" x14ac:dyDescent="0.15">
      <c r="A641" s="6">
        <v>640</v>
      </c>
      <c r="B641" s="7" t="s">
        <v>9</v>
      </c>
      <c r="C641" s="8">
        <v>1883</v>
      </c>
      <c r="D641" s="9">
        <v>45395</v>
      </c>
      <c r="E641" s="13" t="str">
        <f>+HYPERLINK("http://trademark.i-assist.jp/data/china/image_1883th/76181504.pdf","76181504")</f>
        <v>76181504</v>
      </c>
      <c r="F641" s="7" t="s">
        <v>57</v>
      </c>
      <c r="G641" s="7" t="s">
        <v>1741</v>
      </c>
      <c r="H641" s="7" t="s">
        <v>1742</v>
      </c>
      <c r="I641" s="9">
        <v>45295</v>
      </c>
    </row>
    <row r="642" spans="1:9" x14ac:dyDescent="0.15">
      <c r="A642" s="6">
        <v>641</v>
      </c>
      <c r="B642" s="7" t="s">
        <v>9</v>
      </c>
      <c r="C642" s="8">
        <v>1883</v>
      </c>
      <c r="D642" s="9">
        <v>45395</v>
      </c>
      <c r="E642" s="13" t="str">
        <f>+HYPERLINK("http://trademark.i-assist.jp/data/china/image_1883th/76182535.pdf","76182535")</f>
        <v>76182535</v>
      </c>
      <c r="F642" s="7" t="s">
        <v>1743</v>
      </c>
      <c r="G642" s="7" t="s">
        <v>1744</v>
      </c>
      <c r="H642" s="7" t="s">
        <v>1745</v>
      </c>
      <c r="I642" s="9">
        <v>45295</v>
      </c>
    </row>
    <row r="643" spans="1:9" x14ac:dyDescent="0.15">
      <c r="A643" s="6">
        <v>642</v>
      </c>
      <c r="B643" s="7" t="s">
        <v>9</v>
      </c>
      <c r="C643" s="8">
        <v>1883</v>
      </c>
      <c r="D643" s="9">
        <v>45395</v>
      </c>
      <c r="E643" s="13" t="str">
        <f>+HYPERLINK("http://trademark.i-assist.jp/data/china/image_1883th/76183705.pdf","76183705")</f>
        <v>76183705</v>
      </c>
      <c r="F643" s="7" t="s">
        <v>57</v>
      </c>
      <c r="G643" s="7" t="s">
        <v>1741</v>
      </c>
      <c r="H643" s="7" t="s">
        <v>1746</v>
      </c>
      <c r="I643" s="9">
        <v>45295</v>
      </c>
    </row>
    <row r="644" spans="1:9" x14ac:dyDescent="0.15">
      <c r="A644" s="6">
        <v>643</v>
      </c>
      <c r="B644" s="7" t="s">
        <v>9</v>
      </c>
      <c r="C644" s="8">
        <v>1883</v>
      </c>
      <c r="D644" s="9">
        <v>45395</v>
      </c>
      <c r="E644" s="13" t="str">
        <f>+HYPERLINK("http://trademark.i-assist.jp/data/china/image_1883th/76184876.pdf","76184876")</f>
        <v>76184876</v>
      </c>
      <c r="F644" s="7" t="s">
        <v>1747</v>
      </c>
      <c r="G644" s="7" t="s">
        <v>1748</v>
      </c>
      <c r="H644" s="7" t="s">
        <v>1749</v>
      </c>
      <c r="I644" s="9">
        <v>45295</v>
      </c>
    </row>
    <row r="645" spans="1:9" x14ac:dyDescent="0.15">
      <c r="A645" s="6">
        <v>644</v>
      </c>
      <c r="B645" s="7" t="s">
        <v>9</v>
      </c>
      <c r="C645" s="8">
        <v>1883</v>
      </c>
      <c r="D645" s="9">
        <v>45395</v>
      </c>
      <c r="E645" s="13" t="str">
        <f>+HYPERLINK("http://trademark.i-assist.jp/data/china/image_1883th/76185713.pdf","76185713")</f>
        <v>76185713</v>
      </c>
      <c r="F645" s="7" t="s">
        <v>1750</v>
      </c>
      <c r="G645" s="7" t="s">
        <v>1751</v>
      </c>
      <c r="H645" s="7" t="s">
        <v>1752</v>
      </c>
      <c r="I645" s="9">
        <v>45295</v>
      </c>
    </row>
    <row r="646" spans="1:9" x14ac:dyDescent="0.15">
      <c r="A646" s="6">
        <v>645</v>
      </c>
      <c r="B646" s="7" t="s">
        <v>9</v>
      </c>
      <c r="C646" s="8">
        <v>1883</v>
      </c>
      <c r="D646" s="9">
        <v>45395</v>
      </c>
      <c r="E646" s="13" t="str">
        <f>+HYPERLINK("http://trademark.i-assist.jp/data/china/image_1883th/76186141.pdf","76186141")</f>
        <v>76186141</v>
      </c>
      <c r="F646" s="7" t="s">
        <v>57</v>
      </c>
      <c r="G646" s="7" t="s">
        <v>1753</v>
      </c>
      <c r="H646" s="7" t="s">
        <v>1754</v>
      </c>
      <c r="I646" s="9">
        <v>45295</v>
      </c>
    </row>
    <row r="647" spans="1:9" x14ac:dyDescent="0.15">
      <c r="A647" s="6">
        <v>646</v>
      </c>
      <c r="B647" s="7" t="s">
        <v>9</v>
      </c>
      <c r="C647" s="8">
        <v>1883</v>
      </c>
      <c r="D647" s="9">
        <v>45395</v>
      </c>
      <c r="E647" s="13" t="str">
        <f>+HYPERLINK("http://trademark.i-assist.jp/data/china/image_1883th/76186959.pdf","76186959")</f>
        <v>76186959</v>
      </c>
      <c r="F647" s="7" t="s">
        <v>1755</v>
      </c>
      <c r="G647" s="7" t="s">
        <v>847</v>
      </c>
      <c r="H647" s="7" t="s">
        <v>1756</v>
      </c>
      <c r="I647" s="9">
        <v>45295</v>
      </c>
    </row>
    <row r="648" spans="1:9" x14ac:dyDescent="0.15">
      <c r="A648" s="6">
        <v>647</v>
      </c>
      <c r="B648" s="7" t="s">
        <v>9</v>
      </c>
      <c r="C648" s="8">
        <v>1883</v>
      </c>
      <c r="D648" s="9">
        <v>45395</v>
      </c>
      <c r="E648" s="13" t="str">
        <f>+HYPERLINK("http://trademark.i-assist.jp/data/china/image_1883th/76187284.pdf","76187284")</f>
        <v>76187284</v>
      </c>
      <c r="F648" s="7" t="s">
        <v>1757</v>
      </c>
      <c r="G648" s="7" t="s">
        <v>1758</v>
      </c>
      <c r="H648" s="7" t="s">
        <v>1759</v>
      </c>
      <c r="I648" s="9">
        <v>45295</v>
      </c>
    </row>
    <row r="649" spans="1:9" x14ac:dyDescent="0.15">
      <c r="A649" s="6">
        <v>648</v>
      </c>
      <c r="B649" s="7" t="s">
        <v>9</v>
      </c>
      <c r="C649" s="8">
        <v>1883</v>
      </c>
      <c r="D649" s="9">
        <v>45395</v>
      </c>
      <c r="E649" s="13" t="str">
        <f>+HYPERLINK("http://trademark.i-assist.jp/data/china/image_1883th/76188554.pdf","76188554")</f>
        <v>76188554</v>
      </c>
      <c r="F649" s="7" t="s">
        <v>1760</v>
      </c>
      <c r="G649" s="7" t="s">
        <v>1761</v>
      </c>
      <c r="H649" s="7" t="s">
        <v>1762</v>
      </c>
      <c r="I649" s="9">
        <v>45295</v>
      </c>
    </row>
    <row r="650" spans="1:9" x14ac:dyDescent="0.15">
      <c r="A650" s="6">
        <v>649</v>
      </c>
      <c r="B650" s="7" t="s">
        <v>9</v>
      </c>
      <c r="C650" s="8">
        <v>1883</v>
      </c>
      <c r="D650" s="9">
        <v>45395</v>
      </c>
      <c r="E650" s="13" t="str">
        <f>+HYPERLINK("http://trademark.i-assist.jp/data/china/image_1883th/76189069.pdf","76189069")</f>
        <v>76189069</v>
      </c>
      <c r="F650" s="7" t="s">
        <v>1763</v>
      </c>
      <c r="G650" s="7" t="s">
        <v>1764</v>
      </c>
      <c r="H650" s="7" t="s">
        <v>1765</v>
      </c>
      <c r="I650" s="9">
        <v>45295</v>
      </c>
    </row>
    <row r="651" spans="1:9" x14ac:dyDescent="0.15">
      <c r="A651" s="6">
        <v>650</v>
      </c>
      <c r="B651" s="7" t="s">
        <v>9</v>
      </c>
      <c r="C651" s="8">
        <v>1883</v>
      </c>
      <c r="D651" s="9">
        <v>45395</v>
      </c>
      <c r="E651" s="13" t="str">
        <f>+HYPERLINK("http://trademark.i-assist.jp/data/china/image_1883th/76190449.pdf","76190449")</f>
        <v>76190449</v>
      </c>
      <c r="F651" s="7" t="s">
        <v>1766</v>
      </c>
      <c r="G651" s="7" t="s">
        <v>1767</v>
      </c>
      <c r="H651" s="7" t="s">
        <v>1768</v>
      </c>
      <c r="I651" s="9">
        <v>45295</v>
      </c>
    </row>
    <row r="652" spans="1:9" x14ac:dyDescent="0.15">
      <c r="A652" s="6">
        <v>651</v>
      </c>
      <c r="B652" s="7" t="s">
        <v>9</v>
      </c>
      <c r="C652" s="8">
        <v>1883</v>
      </c>
      <c r="D652" s="9">
        <v>45395</v>
      </c>
      <c r="E652" s="13" t="str">
        <f>+HYPERLINK("http://trademark.i-assist.jp/data/china/image_1883th/76191149.pdf","76191149")</f>
        <v>76191149</v>
      </c>
      <c r="F652" s="7" t="s">
        <v>1769</v>
      </c>
      <c r="G652" s="7" t="s">
        <v>1770</v>
      </c>
      <c r="H652" s="7" t="s">
        <v>1771</v>
      </c>
      <c r="I652" s="9">
        <v>45295</v>
      </c>
    </row>
    <row r="653" spans="1:9" x14ac:dyDescent="0.15">
      <c r="A653" s="6">
        <v>652</v>
      </c>
      <c r="B653" s="7" t="s">
        <v>9</v>
      </c>
      <c r="C653" s="8">
        <v>1883</v>
      </c>
      <c r="D653" s="9">
        <v>45395</v>
      </c>
      <c r="E653" s="13" t="str">
        <f>+HYPERLINK("http://trademark.i-assist.jp/data/china/image_1883th/76192506.pdf","76192506")</f>
        <v>76192506</v>
      </c>
      <c r="F653" s="7" t="s">
        <v>57</v>
      </c>
      <c r="G653" s="7" t="s">
        <v>1772</v>
      </c>
      <c r="H653" s="7" t="s">
        <v>1773</v>
      </c>
      <c r="I653" s="9">
        <v>45295</v>
      </c>
    </row>
    <row r="654" spans="1:9" ht="27" x14ac:dyDescent="0.15">
      <c r="A654" s="6">
        <v>653</v>
      </c>
      <c r="B654" s="7" t="s">
        <v>9</v>
      </c>
      <c r="C654" s="8">
        <v>1883</v>
      </c>
      <c r="D654" s="9">
        <v>45395</v>
      </c>
      <c r="E654" s="13" t="str">
        <f>+HYPERLINK("http://trademark.i-assist.jp/data/china/image_1883th/76192534.pdf","76192534")</f>
        <v>76192534</v>
      </c>
      <c r="F654" s="7" t="s">
        <v>57</v>
      </c>
      <c r="G654" s="7" t="s">
        <v>1741</v>
      </c>
      <c r="H654" s="7" t="s">
        <v>1774</v>
      </c>
      <c r="I654" s="9">
        <v>45295</v>
      </c>
    </row>
    <row r="655" spans="1:9" x14ac:dyDescent="0.15">
      <c r="A655" s="6">
        <v>654</v>
      </c>
      <c r="B655" s="7" t="s">
        <v>9</v>
      </c>
      <c r="C655" s="8">
        <v>1883</v>
      </c>
      <c r="D655" s="9">
        <v>45395</v>
      </c>
      <c r="E655" s="13" t="str">
        <f>+HYPERLINK("http://trademark.i-assist.jp/data/china/image_1883th/76192621.pdf","76192621")</f>
        <v>76192621</v>
      </c>
      <c r="F655" s="7" t="s">
        <v>1775</v>
      </c>
      <c r="G655" s="7" t="s">
        <v>1776</v>
      </c>
      <c r="H655" s="7" t="s">
        <v>1777</v>
      </c>
      <c r="I655" s="9">
        <v>45295</v>
      </c>
    </row>
    <row r="656" spans="1:9" x14ac:dyDescent="0.15">
      <c r="A656" s="6">
        <v>655</v>
      </c>
      <c r="B656" s="7" t="s">
        <v>9</v>
      </c>
      <c r="C656" s="8">
        <v>1883</v>
      </c>
      <c r="D656" s="9">
        <v>45395</v>
      </c>
      <c r="E656" s="13" t="str">
        <f>+HYPERLINK("http://trademark.i-assist.jp/data/china/image_1883th/76192839.pdf","76192839")</f>
        <v>76192839</v>
      </c>
      <c r="F656" s="7" t="s">
        <v>1778</v>
      </c>
      <c r="G656" s="7" t="s">
        <v>1779</v>
      </c>
      <c r="H656" s="7" t="s">
        <v>1780</v>
      </c>
      <c r="I656" s="9">
        <v>45295</v>
      </c>
    </row>
    <row r="657" spans="1:9" x14ac:dyDescent="0.15">
      <c r="A657" s="6">
        <v>656</v>
      </c>
      <c r="B657" s="7" t="s">
        <v>9</v>
      </c>
      <c r="C657" s="8">
        <v>1883</v>
      </c>
      <c r="D657" s="9">
        <v>45395</v>
      </c>
      <c r="E657" s="13" t="str">
        <f>+HYPERLINK("http://trademark.i-assist.jp/data/china/image_1883th/76193709.pdf","76193709")</f>
        <v>76193709</v>
      </c>
      <c r="F657" s="7" t="s">
        <v>57</v>
      </c>
      <c r="G657" s="7" t="s">
        <v>1741</v>
      </c>
      <c r="H657" s="7" t="s">
        <v>1781</v>
      </c>
      <c r="I657" s="9">
        <v>45295</v>
      </c>
    </row>
    <row r="658" spans="1:9" x14ac:dyDescent="0.15">
      <c r="A658" s="6">
        <v>657</v>
      </c>
      <c r="B658" s="7" t="s">
        <v>9</v>
      </c>
      <c r="C658" s="8">
        <v>1883</v>
      </c>
      <c r="D658" s="9">
        <v>45395</v>
      </c>
      <c r="E658" s="13" t="str">
        <f>+HYPERLINK("http://trademark.i-assist.jp/data/china/image_1883th/76194344.pdf","76194344")</f>
        <v>76194344</v>
      </c>
      <c r="F658" s="7" t="s">
        <v>1782</v>
      </c>
      <c r="G658" s="7" t="s">
        <v>1783</v>
      </c>
      <c r="H658" s="7" t="s">
        <v>1784</v>
      </c>
      <c r="I658" s="9">
        <v>45295</v>
      </c>
    </row>
    <row r="659" spans="1:9" x14ac:dyDescent="0.15">
      <c r="A659" s="6">
        <v>658</v>
      </c>
      <c r="B659" s="7" t="s">
        <v>9</v>
      </c>
      <c r="C659" s="8">
        <v>1883</v>
      </c>
      <c r="D659" s="9">
        <v>45395</v>
      </c>
      <c r="E659" s="13" t="str">
        <f>+HYPERLINK("http://trademark.i-assist.jp/data/china/image_1883th/76194453.pdf","76194453")</f>
        <v>76194453</v>
      </c>
      <c r="F659" s="7" t="s">
        <v>1785</v>
      </c>
      <c r="G659" s="7" t="s">
        <v>1786</v>
      </c>
      <c r="H659" s="7" t="s">
        <v>1787</v>
      </c>
      <c r="I659" s="9">
        <v>45295</v>
      </c>
    </row>
    <row r="660" spans="1:9" x14ac:dyDescent="0.15">
      <c r="A660" s="6">
        <v>659</v>
      </c>
      <c r="B660" s="7" t="s">
        <v>9</v>
      </c>
      <c r="C660" s="8">
        <v>1883</v>
      </c>
      <c r="D660" s="9">
        <v>45395</v>
      </c>
      <c r="E660" s="13" t="str">
        <f>+HYPERLINK("http://trademark.i-assist.jp/data/china/image_1883th/76194867.pdf","76194867")</f>
        <v>76194867</v>
      </c>
      <c r="F660" s="7" t="s">
        <v>1788</v>
      </c>
      <c r="G660" s="7" t="s">
        <v>1789</v>
      </c>
      <c r="H660" s="7" t="s">
        <v>1790</v>
      </c>
      <c r="I660" s="9">
        <v>45295</v>
      </c>
    </row>
    <row r="661" spans="1:9" x14ac:dyDescent="0.15">
      <c r="A661" s="6">
        <v>660</v>
      </c>
      <c r="B661" s="7" t="s">
        <v>9</v>
      </c>
      <c r="C661" s="8">
        <v>1883</v>
      </c>
      <c r="D661" s="9">
        <v>45395</v>
      </c>
      <c r="E661" s="13" t="str">
        <f>+HYPERLINK("http://trademark.i-assist.jp/data/china/image_1883th/76195875.pdf","76195875")</f>
        <v>76195875</v>
      </c>
      <c r="F661" s="7" t="s">
        <v>1791</v>
      </c>
      <c r="G661" s="7" t="s">
        <v>1792</v>
      </c>
      <c r="H661" s="7" t="s">
        <v>1793</v>
      </c>
      <c r="I661" s="9">
        <v>45295</v>
      </c>
    </row>
    <row r="662" spans="1:9" x14ac:dyDescent="0.15">
      <c r="A662" s="6">
        <v>661</v>
      </c>
      <c r="B662" s="7" t="s">
        <v>9</v>
      </c>
      <c r="C662" s="8">
        <v>1883</v>
      </c>
      <c r="D662" s="9">
        <v>45395</v>
      </c>
      <c r="E662" s="13" t="str">
        <f>+HYPERLINK("http://trademark.i-assist.jp/data/china/image_1883th/76196464.pdf","76196464")</f>
        <v>76196464</v>
      </c>
      <c r="F662" s="7" t="s">
        <v>1794</v>
      </c>
      <c r="G662" s="7" t="s">
        <v>1795</v>
      </c>
      <c r="H662" s="7" t="s">
        <v>1796</v>
      </c>
      <c r="I662" s="9">
        <v>45295</v>
      </c>
    </row>
    <row r="663" spans="1:9" x14ac:dyDescent="0.15">
      <c r="A663" s="6">
        <v>662</v>
      </c>
      <c r="B663" s="7" t="s">
        <v>9</v>
      </c>
      <c r="C663" s="8">
        <v>1883</v>
      </c>
      <c r="D663" s="9">
        <v>45395</v>
      </c>
      <c r="E663" s="13" t="str">
        <f>+HYPERLINK("http://trademark.i-assist.jp/data/china/image_1883th/76196475.pdf","76196475")</f>
        <v>76196475</v>
      </c>
      <c r="F663" s="7" t="s">
        <v>1797</v>
      </c>
      <c r="G663" s="7" t="s">
        <v>1795</v>
      </c>
      <c r="H663" s="7" t="s">
        <v>1798</v>
      </c>
      <c r="I663" s="9">
        <v>45295</v>
      </c>
    </row>
    <row r="664" spans="1:9" x14ac:dyDescent="0.15">
      <c r="A664" s="6">
        <v>663</v>
      </c>
      <c r="B664" s="7" t="s">
        <v>9</v>
      </c>
      <c r="C664" s="8">
        <v>1883</v>
      </c>
      <c r="D664" s="9">
        <v>45395</v>
      </c>
      <c r="E664" s="13" t="str">
        <f>+HYPERLINK("http://trademark.i-assist.jp/data/china/image_1883th/76197007.pdf","76197007")</f>
        <v>76197007</v>
      </c>
      <c r="F664" s="7" t="s">
        <v>1799</v>
      </c>
      <c r="G664" s="7" t="s">
        <v>1800</v>
      </c>
      <c r="H664" s="7" t="s">
        <v>1801</v>
      </c>
      <c r="I664" s="9">
        <v>45295</v>
      </c>
    </row>
    <row r="665" spans="1:9" x14ac:dyDescent="0.15">
      <c r="A665" s="6">
        <v>664</v>
      </c>
      <c r="B665" s="7" t="s">
        <v>9</v>
      </c>
      <c r="C665" s="8">
        <v>1883</v>
      </c>
      <c r="D665" s="9">
        <v>45395</v>
      </c>
      <c r="E665" s="13" t="str">
        <f>+HYPERLINK("http://trademark.i-assist.jp/data/china/image_1883th/76197699.pdf","76197699")</f>
        <v>76197699</v>
      </c>
      <c r="F665" s="7" t="s">
        <v>1802</v>
      </c>
      <c r="G665" s="7" t="s">
        <v>1803</v>
      </c>
      <c r="H665" s="7" t="s">
        <v>1804</v>
      </c>
      <c r="I665" s="9">
        <v>45295</v>
      </c>
    </row>
    <row r="666" spans="1:9" ht="27" x14ac:dyDescent="0.15">
      <c r="A666" s="6">
        <v>665</v>
      </c>
      <c r="B666" s="7" t="s">
        <v>9</v>
      </c>
      <c r="C666" s="8">
        <v>1883</v>
      </c>
      <c r="D666" s="9">
        <v>45395</v>
      </c>
      <c r="E666" s="13" t="str">
        <f>+HYPERLINK("http://trademark.i-assist.jp/data/china/image_1883th/76197919.pdf","76197919")</f>
        <v>76197919</v>
      </c>
      <c r="F666" s="7" t="s">
        <v>1805</v>
      </c>
      <c r="G666" s="7" t="s">
        <v>1806</v>
      </c>
      <c r="H666" s="7" t="s">
        <v>1807</v>
      </c>
      <c r="I666" s="9">
        <v>45295</v>
      </c>
    </row>
    <row r="667" spans="1:9" x14ac:dyDescent="0.15">
      <c r="A667" s="6">
        <v>666</v>
      </c>
      <c r="B667" s="7" t="s">
        <v>9</v>
      </c>
      <c r="C667" s="8">
        <v>1883</v>
      </c>
      <c r="D667" s="9">
        <v>45395</v>
      </c>
      <c r="E667" s="13" t="str">
        <f>+HYPERLINK("http://trademark.i-assist.jp/data/china/image_1883th/76198121.pdf","76198121")</f>
        <v>76198121</v>
      </c>
      <c r="F667" s="7" t="s">
        <v>1808</v>
      </c>
      <c r="G667" s="7" t="s">
        <v>1809</v>
      </c>
      <c r="H667" s="7" t="s">
        <v>1810</v>
      </c>
      <c r="I667" s="9">
        <v>45295</v>
      </c>
    </row>
    <row r="668" spans="1:9" x14ac:dyDescent="0.15">
      <c r="A668" s="6">
        <v>667</v>
      </c>
      <c r="B668" s="7" t="s">
        <v>9</v>
      </c>
      <c r="C668" s="8">
        <v>1883</v>
      </c>
      <c r="D668" s="9">
        <v>45395</v>
      </c>
      <c r="E668" s="13" t="str">
        <f>+HYPERLINK("http://trademark.i-assist.jp/data/china/image_1883th/76198547.pdf","76198547")</f>
        <v>76198547</v>
      </c>
      <c r="F668" s="7" t="s">
        <v>1811</v>
      </c>
      <c r="G668" s="7" t="s">
        <v>1812</v>
      </c>
      <c r="H668" s="7" t="s">
        <v>1813</v>
      </c>
      <c r="I668" s="9">
        <v>45295</v>
      </c>
    </row>
    <row r="669" spans="1:9" ht="27" x14ac:dyDescent="0.15">
      <c r="A669" s="6">
        <v>668</v>
      </c>
      <c r="B669" s="7" t="s">
        <v>9</v>
      </c>
      <c r="C669" s="8">
        <v>1883</v>
      </c>
      <c r="D669" s="9">
        <v>45395</v>
      </c>
      <c r="E669" s="13" t="str">
        <f>+HYPERLINK("http://trademark.i-assist.jp/data/china/image_1883th/76198665.pdf","76198665")</f>
        <v>76198665</v>
      </c>
      <c r="F669" s="7" t="s">
        <v>1814</v>
      </c>
      <c r="G669" s="7" t="s">
        <v>1815</v>
      </c>
      <c r="H669" s="7" t="s">
        <v>1816</v>
      </c>
      <c r="I669" s="9">
        <v>45295</v>
      </c>
    </row>
    <row r="670" spans="1:9" x14ac:dyDescent="0.15">
      <c r="A670" s="6">
        <v>669</v>
      </c>
      <c r="B670" s="7" t="s">
        <v>9</v>
      </c>
      <c r="C670" s="8">
        <v>1883</v>
      </c>
      <c r="D670" s="9">
        <v>45395</v>
      </c>
      <c r="E670" s="13" t="str">
        <f>+HYPERLINK("http://trademark.i-assist.jp/data/china/image_1883th/76199726.pdf","76199726")</f>
        <v>76199726</v>
      </c>
      <c r="F670" s="7" t="s">
        <v>1817</v>
      </c>
      <c r="G670" s="7" t="s">
        <v>1818</v>
      </c>
      <c r="H670" s="7" t="s">
        <v>1819</v>
      </c>
      <c r="I670" s="9">
        <v>45295</v>
      </c>
    </row>
    <row r="671" spans="1:9" x14ac:dyDescent="0.15">
      <c r="A671" s="6">
        <v>670</v>
      </c>
      <c r="B671" s="7" t="s">
        <v>9</v>
      </c>
      <c r="C671" s="8">
        <v>1883</v>
      </c>
      <c r="D671" s="9">
        <v>45395</v>
      </c>
      <c r="E671" s="13" t="str">
        <f>+HYPERLINK("http://trademark.i-assist.jp/data/china/image_1883th/76199900.pdf","76199900")</f>
        <v>76199900</v>
      </c>
      <c r="F671" s="7" t="s">
        <v>1820</v>
      </c>
      <c r="G671" s="7" t="s">
        <v>1821</v>
      </c>
      <c r="H671" s="7" t="s">
        <v>1822</v>
      </c>
      <c r="I671" s="9">
        <v>45295</v>
      </c>
    </row>
    <row r="672" spans="1:9" x14ac:dyDescent="0.15">
      <c r="A672" s="6">
        <v>671</v>
      </c>
      <c r="B672" s="7" t="s">
        <v>9</v>
      </c>
      <c r="C672" s="8">
        <v>1883</v>
      </c>
      <c r="D672" s="9">
        <v>45395</v>
      </c>
      <c r="E672" s="13" t="str">
        <f>+HYPERLINK("http://trademark.i-assist.jp/data/china/image_1883th/76200044.pdf","76200044")</f>
        <v>76200044</v>
      </c>
      <c r="F672" s="7" t="s">
        <v>1823</v>
      </c>
      <c r="G672" s="7" t="s">
        <v>1824</v>
      </c>
      <c r="H672" s="7" t="s">
        <v>1825</v>
      </c>
      <c r="I672" s="9">
        <v>45295</v>
      </c>
    </row>
    <row r="673" spans="1:9" x14ac:dyDescent="0.15">
      <c r="A673" s="6">
        <v>672</v>
      </c>
      <c r="B673" s="7" t="s">
        <v>9</v>
      </c>
      <c r="C673" s="8">
        <v>1883</v>
      </c>
      <c r="D673" s="9">
        <v>45395</v>
      </c>
      <c r="E673" s="13" t="str">
        <f>+HYPERLINK("http://trademark.i-assist.jp/data/china/image_1883th/76200048.pdf","76200048")</f>
        <v>76200048</v>
      </c>
      <c r="F673" s="7" t="s">
        <v>1826</v>
      </c>
      <c r="G673" s="7" t="s">
        <v>1824</v>
      </c>
      <c r="H673" s="7" t="s">
        <v>1827</v>
      </c>
      <c r="I673" s="9">
        <v>45295</v>
      </c>
    </row>
    <row r="674" spans="1:9" x14ac:dyDescent="0.15">
      <c r="A674" s="6">
        <v>673</v>
      </c>
      <c r="B674" s="7" t="s">
        <v>9</v>
      </c>
      <c r="C674" s="8">
        <v>1883</v>
      </c>
      <c r="D674" s="9">
        <v>45395</v>
      </c>
      <c r="E674" s="13" t="str">
        <f>+HYPERLINK("http://trademark.i-assist.jp/data/china/image_1883th/76200163.pdf","76200163")</f>
        <v>76200163</v>
      </c>
      <c r="F674" s="7" t="s">
        <v>1828</v>
      </c>
      <c r="G674" s="7" t="s">
        <v>1829</v>
      </c>
      <c r="H674" s="7" t="s">
        <v>1830</v>
      </c>
      <c r="I674" s="9">
        <v>45295</v>
      </c>
    </row>
    <row r="675" spans="1:9" x14ac:dyDescent="0.15">
      <c r="A675" s="6">
        <v>674</v>
      </c>
      <c r="B675" s="7" t="s">
        <v>9</v>
      </c>
      <c r="C675" s="8">
        <v>1883</v>
      </c>
      <c r="D675" s="9">
        <v>45395</v>
      </c>
      <c r="E675" s="13" t="str">
        <f>+HYPERLINK("http://trademark.i-assist.jp/data/china/image_1883th/76200261.pdf","76200261")</f>
        <v>76200261</v>
      </c>
      <c r="F675" s="7" t="s">
        <v>57</v>
      </c>
      <c r="G675" s="7" t="s">
        <v>1741</v>
      </c>
      <c r="H675" s="7" t="s">
        <v>1831</v>
      </c>
      <c r="I675" s="9">
        <v>45295</v>
      </c>
    </row>
    <row r="676" spans="1:9" x14ac:dyDescent="0.15">
      <c r="A676" s="6">
        <v>675</v>
      </c>
      <c r="B676" s="7" t="s">
        <v>9</v>
      </c>
      <c r="C676" s="8">
        <v>1883</v>
      </c>
      <c r="D676" s="9">
        <v>45395</v>
      </c>
      <c r="E676" s="13" t="str">
        <f>+HYPERLINK("http://trademark.i-assist.jp/data/china/image_1883th/76201615.pdf","76201615")</f>
        <v>76201615</v>
      </c>
      <c r="F676" s="7" t="s">
        <v>1832</v>
      </c>
      <c r="G676" s="7" t="s">
        <v>1833</v>
      </c>
      <c r="H676" s="7" t="s">
        <v>1834</v>
      </c>
      <c r="I676" s="9">
        <v>45295</v>
      </c>
    </row>
    <row r="677" spans="1:9" ht="40.5" x14ac:dyDescent="0.15">
      <c r="A677" s="6">
        <v>676</v>
      </c>
      <c r="B677" s="7" t="s">
        <v>9</v>
      </c>
      <c r="C677" s="8">
        <v>1883</v>
      </c>
      <c r="D677" s="9">
        <v>45395</v>
      </c>
      <c r="E677" s="13" t="str">
        <f>+HYPERLINK("http://trademark.i-assist.jp/data/china/image_1883th/76201796.pdf","76201796")</f>
        <v>76201796</v>
      </c>
      <c r="F677" s="7" t="s">
        <v>57</v>
      </c>
      <c r="G677" s="7" t="s">
        <v>1741</v>
      </c>
      <c r="H677" s="7" t="s">
        <v>1835</v>
      </c>
      <c r="I677" s="9">
        <v>45295</v>
      </c>
    </row>
    <row r="678" spans="1:9" x14ac:dyDescent="0.15">
      <c r="A678" s="6">
        <v>677</v>
      </c>
      <c r="B678" s="7" t="s">
        <v>9</v>
      </c>
      <c r="C678" s="8">
        <v>1883</v>
      </c>
      <c r="D678" s="9">
        <v>45395</v>
      </c>
      <c r="E678" s="13" t="str">
        <f>+HYPERLINK("http://trademark.i-assist.jp/data/china/image_1883th/76201981.pdf","76201981")</f>
        <v>76201981</v>
      </c>
      <c r="F678" s="7" t="s">
        <v>1836</v>
      </c>
      <c r="G678" s="7" t="s">
        <v>1837</v>
      </c>
      <c r="H678" s="7" t="s">
        <v>1838</v>
      </c>
      <c r="I678" s="9">
        <v>45295</v>
      </c>
    </row>
    <row r="679" spans="1:9" x14ac:dyDescent="0.15">
      <c r="A679" s="6">
        <v>678</v>
      </c>
      <c r="B679" s="7" t="s">
        <v>9</v>
      </c>
      <c r="C679" s="8">
        <v>1883</v>
      </c>
      <c r="D679" s="9">
        <v>45395</v>
      </c>
      <c r="E679" s="13" t="str">
        <f>+HYPERLINK("http://trademark.i-assist.jp/data/china/image_1883th/76202204.pdf","76202204")</f>
        <v>76202204</v>
      </c>
      <c r="F679" s="7" t="s">
        <v>1839</v>
      </c>
      <c r="G679" s="7" t="s">
        <v>1840</v>
      </c>
      <c r="H679" s="7" t="s">
        <v>1841</v>
      </c>
      <c r="I679" s="9">
        <v>45295</v>
      </c>
    </row>
    <row r="680" spans="1:9" x14ac:dyDescent="0.15">
      <c r="A680" s="6">
        <v>679</v>
      </c>
      <c r="B680" s="7" t="s">
        <v>9</v>
      </c>
      <c r="C680" s="8">
        <v>1883</v>
      </c>
      <c r="D680" s="9">
        <v>45395</v>
      </c>
      <c r="E680" s="13" t="str">
        <f>+HYPERLINK("http://trademark.i-assist.jp/data/china/image_1883th/76202814.pdf","76202814")</f>
        <v>76202814</v>
      </c>
      <c r="F680" s="7" t="s">
        <v>1842</v>
      </c>
      <c r="G680" s="7" t="s">
        <v>1843</v>
      </c>
      <c r="H680" s="7" t="s">
        <v>1844</v>
      </c>
      <c r="I680" s="9">
        <v>45295</v>
      </c>
    </row>
    <row r="681" spans="1:9" x14ac:dyDescent="0.15">
      <c r="A681" s="6">
        <v>680</v>
      </c>
      <c r="B681" s="7" t="s">
        <v>9</v>
      </c>
      <c r="C681" s="8">
        <v>1883</v>
      </c>
      <c r="D681" s="9">
        <v>45395</v>
      </c>
      <c r="E681" s="13" t="str">
        <f>+HYPERLINK("http://trademark.i-assist.jp/data/china/image_1883th/76203928.pdf","76203928")</f>
        <v>76203928</v>
      </c>
      <c r="F681" s="7" t="s">
        <v>1845</v>
      </c>
      <c r="G681" s="7" t="s">
        <v>1846</v>
      </c>
      <c r="H681" s="7" t="s">
        <v>1847</v>
      </c>
      <c r="I681" s="9">
        <v>45295</v>
      </c>
    </row>
    <row r="682" spans="1:9" x14ac:dyDescent="0.15">
      <c r="A682" s="6">
        <v>681</v>
      </c>
      <c r="B682" s="7" t="s">
        <v>9</v>
      </c>
      <c r="C682" s="8">
        <v>1883</v>
      </c>
      <c r="D682" s="9">
        <v>45395</v>
      </c>
      <c r="E682" s="13" t="str">
        <f>+HYPERLINK("http://trademark.i-assist.jp/data/china/image_1883th/76204159.pdf","76204159")</f>
        <v>76204159</v>
      </c>
      <c r="F682" s="7" t="s">
        <v>1848</v>
      </c>
      <c r="G682" s="7" t="s">
        <v>1849</v>
      </c>
      <c r="H682" s="7" t="s">
        <v>1850</v>
      </c>
      <c r="I682" s="9">
        <v>45295</v>
      </c>
    </row>
    <row r="683" spans="1:9" x14ac:dyDescent="0.15">
      <c r="A683" s="6">
        <v>682</v>
      </c>
      <c r="B683" s="7" t="s">
        <v>9</v>
      </c>
      <c r="C683" s="8">
        <v>1883</v>
      </c>
      <c r="D683" s="9">
        <v>45395</v>
      </c>
      <c r="E683" s="13" t="str">
        <f>+HYPERLINK("http://trademark.i-assist.jp/data/china/image_1883th/76204491.pdf","76204491")</f>
        <v>76204491</v>
      </c>
      <c r="F683" s="7" t="s">
        <v>1851</v>
      </c>
      <c r="G683" s="7" t="s">
        <v>1852</v>
      </c>
      <c r="H683" s="7" t="s">
        <v>1853</v>
      </c>
      <c r="I683" s="9">
        <v>45295</v>
      </c>
    </row>
    <row r="684" spans="1:9" x14ac:dyDescent="0.15">
      <c r="A684" s="6">
        <v>683</v>
      </c>
      <c r="B684" s="7" t="s">
        <v>9</v>
      </c>
      <c r="C684" s="8">
        <v>1883</v>
      </c>
      <c r="D684" s="9">
        <v>45395</v>
      </c>
      <c r="E684" s="13" t="str">
        <f>+HYPERLINK("http://trademark.i-assist.jp/data/china/image_1883th/76205596.pdf","76205596")</f>
        <v>76205596</v>
      </c>
      <c r="F684" s="7" t="s">
        <v>1854</v>
      </c>
      <c r="G684" s="7" t="s">
        <v>1855</v>
      </c>
      <c r="H684" s="7" t="s">
        <v>1856</v>
      </c>
      <c r="I684" s="9">
        <v>45296</v>
      </c>
    </row>
    <row r="685" spans="1:9" x14ac:dyDescent="0.15">
      <c r="A685" s="6">
        <v>684</v>
      </c>
      <c r="B685" s="7" t="s">
        <v>9</v>
      </c>
      <c r="C685" s="8">
        <v>1883</v>
      </c>
      <c r="D685" s="9">
        <v>45395</v>
      </c>
      <c r="E685" s="13" t="str">
        <f>+HYPERLINK("http://trademark.i-assist.jp/data/china/image_1883th/76205681.pdf","76205681")</f>
        <v>76205681</v>
      </c>
      <c r="F685" s="7" t="s">
        <v>1857</v>
      </c>
      <c r="G685" s="7" t="s">
        <v>1858</v>
      </c>
      <c r="H685" s="7" t="s">
        <v>1859</v>
      </c>
      <c r="I685" s="9">
        <v>45296</v>
      </c>
    </row>
    <row r="686" spans="1:9" x14ac:dyDescent="0.15">
      <c r="A686" s="6">
        <v>685</v>
      </c>
      <c r="B686" s="7" t="s">
        <v>9</v>
      </c>
      <c r="C686" s="8">
        <v>1883</v>
      </c>
      <c r="D686" s="9">
        <v>45395</v>
      </c>
      <c r="E686" s="13" t="str">
        <f>+HYPERLINK("http://trademark.i-assist.jp/data/china/image_1883th/76205769.pdf","76205769")</f>
        <v>76205769</v>
      </c>
      <c r="F686" s="7" t="s">
        <v>1860</v>
      </c>
      <c r="G686" s="7" t="s">
        <v>1861</v>
      </c>
      <c r="H686" s="7" t="s">
        <v>1862</v>
      </c>
      <c r="I686" s="9">
        <v>45296</v>
      </c>
    </row>
    <row r="687" spans="1:9" x14ac:dyDescent="0.15">
      <c r="A687" s="6">
        <v>686</v>
      </c>
      <c r="B687" s="7" t="s">
        <v>9</v>
      </c>
      <c r="C687" s="8">
        <v>1883</v>
      </c>
      <c r="D687" s="9">
        <v>45395</v>
      </c>
      <c r="E687" s="13" t="str">
        <f>+HYPERLINK("http://trademark.i-assist.jp/data/china/image_1883th/76205822.pdf","76205822")</f>
        <v>76205822</v>
      </c>
      <c r="F687" s="7" t="s">
        <v>1863</v>
      </c>
      <c r="G687" s="7" t="s">
        <v>1864</v>
      </c>
      <c r="H687" s="7" t="s">
        <v>1865</v>
      </c>
      <c r="I687" s="9">
        <v>45296</v>
      </c>
    </row>
    <row r="688" spans="1:9" x14ac:dyDescent="0.15">
      <c r="A688" s="6">
        <v>687</v>
      </c>
      <c r="B688" s="7" t="s">
        <v>9</v>
      </c>
      <c r="C688" s="8">
        <v>1883</v>
      </c>
      <c r="D688" s="9">
        <v>45395</v>
      </c>
      <c r="E688" s="13" t="str">
        <f>+HYPERLINK("http://trademark.i-assist.jp/data/china/image_1883th/76207125.pdf","76207125")</f>
        <v>76207125</v>
      </c>
      <c r="F688" s="7" t="s">
        <v>1866</v>
      </c>
      <c r="G688" s="7" t="s">
        <v>1867</v>
      </c>
      <c r="H688" s="7" t="s">
        <v>1868</v>
      </c>
      <c r="I688" s="9">
        <v>45296</v>
      </c>
    </row>
    <row r="689" spans="1:9" ht="27" x14ac:dyDescent="0.15">
      <c r="A689" s="6">
        <v>688</v>
      </c>
      <c r="B689" s="7" t="s">
        <v>9</v>
      </c>
      <c r="C689" s="8">
        <v>1883</v>
      </c>
      <c r="D689" s="9">
        <v>45395</v>
      </c>
      <c r="E689" s="13" t="str">
        <f>+HYPERLINK("http://trademark.i-assist.jp/data/china/image_1883th/76207165.pdf","76207165")</f>
        <v>76207165</v>
      </c>
      <c r="F689" s="7" t="s">
        <v>1869</v>
      </c>
      <c r="G689" s="7" t="s">
        <v>1870</v>
      </c>
      <c r="H689" s="7" t="s">
        <v>1871</v>
      </c>
      <c r="I689" s="9">
        <v>45296</v>
      </c>
    </row>
    <row r="690" spans="1:9" x14ac:dyDescent="0.15">
      <c r="A690" s="6">
        <v>689</v>
      </c>
      <c r="B690" s="7" t="s">
        <v>9</v>
      </c>
      <c r="C690" s="8">
        <v>1883</v>
      </c>
      <c r="D690" s="9">
        <v>45395</v>
      </c>
      <c r="E690" s="13" t="str">
        <f>+HYPERLINK("http://trademark.i-assist.jp/data/china/image_1883th/76207887.pdf","76207887")</f>
        <v>76207887</v>
      </c>
      <c r="F690" s="7" t="s">
        <v>1872</v>
      </c>
      <c r="G690" s="7" t="s">
        <v>1873</v>
      </c>
      <c r="H690" s="7" t="s">
        <v>1874</v>
      </c>
      <c r="I690" s="9">
        <v>45296</v>
      </c>
    </row>
    <row r="691" spans="1:9" x14ac:dyDescent="0.15">
      <c r="A691" s="6">
        <v>690</v>
      </c>
      <c r="B691" s="7" t="s">
        <v>9</v>
      </c>
      <c r="C691" s="8">
        <v>1883</v>
      </c>
      <c r="D691" s="9">
        <v>45395</v>
      </c>
      <c r="E691" s="13" t="str">
        <f>+HYPERLINK("http://trademark.i-assist.jp/data/china/image_1883th/76209004.pdf","76209004")</f>
        <v>76209004</v>
      </c>
      <c r="F691" s="7" t="s">
        <v>57</v>
      </c>
      <c r="G691" s="7" t="s">
        <v>1741</v>
      </c>
      <c r="H691" s="7" t="s">
        <v>1875</v>
      </c>
      <c r="I691" s="9">
        <v>45296</v>
      </c>
    </row>
    <row r="692" spans="1:9" x14ac:dyDescent="0.15">
      <c r="A692" s="6">
        <v>691</v>
      </c>
      <c r="B692" s="7" t="s">
        <v>9</v>
      </c>
      <c r="C692" s="8">
        <v>1883</v>
      </c>
      <c r="D692" s="9">
        <v>45395</v>
      </c>
      <c r="E692" s="13" t="str">
        <f>+HYPERLINK("http://trademark.i-assist.jp/data/china/image_1883th/76210477.pdf","76210477")</f>
        <v>76210477</v>
      </c>
      <c r="F692" s="7" t="s">
        <v>1876</v>
      </c>
      <c r="G692" s="7" t="s">
        <v>1628</v>
      </c>
      <c r="H692" s="7" t="s">
        <v>1877</v>
      </c>
      <c r="I692" s="9">
        <v>45296</v>
      </c>
    </row>
    <row r="693" spans="1:9" x14ac:dyDescent="0.15">
      <c r="A693" s="6">
        <v>692</v>
      </c>
      <c r="B693" s="7" t="s">
        <v>9</v>
      </c>
      <c r="C693" s="8">
        <v>1883</v>
      </c>
      <c r="D693" s="9">
        <v>45395</v>
      </c>
      <c r="E693" s="13" t="str">
        <f>+HYPERLINK("http://trademark.i-assist.jp/data/china/image_1883th/76210732.pdf","76210732")</f>
        <v>76210732</v>
      </c>
      <c r="F693" s="7" t="s">
        <v>1878</v>
      </c>
      <c r="G693" s="7" t="s">
        <v>1879</v>
      </c>
      <c r="H693" s="7" t="s">
        <v>1880</v>
      </c>
      <c r="I693" s="9">
        <v>45296</v>
      </c>
    </row>
    <row r="694" spans="1:9" x14ac:dyDescent="0.15">
      <c r="A694" s="6">
        <v>693</v>
      </c>
      <c r="B694" s="7" t="s">
        <v>9</v>
      </c>
      <c r="C694" s="8">
        <v>1883</v>
      </c>
      <c r="D694" s="9">
        <v>45395</v>
      </c>
      <c r="E694" s="13" t="str">
        <f>+HYPERLINK("http://trademark.i-assist.jp/data/china/image_1883th/76210840.pdf","76210840")</f>
        <v>76210840</v>
      </c>
      <c r="F694" s="7" t="s">
        <v>1881</v>
      </c>
      <c r="G694" s="7" t="s">
        <v>1855</v>
      </c>
      <c r="H694" s="7" t="s">
        <v>1882</v>
      </c>
      <c r="I694" s="9">
        <v>45296</v>
      </c>
    </row>
    <row r="695" spans="1:9" x14ac:dyDescent="0.15">
      <c r="A695" s="6">
        <v>694</v>
      </c>
      <c r="B695" s="7" t="s">
        <v>9</v>
      </c>
      <c r="C695" s="8">
        <v>1883</v>
      </c>
      <c r="D695" s="9">
        <v>45395</v>
      </c>
      <c r="E695" s="13" t="str">
        <f>+HYPERLINK("http://trademark.i-assist.jp/data/china/image_1883th/76211855.pdf","76211855")</f>
        <v>76211855</v>
      </c>
      <c r="F695" s="7" t="s">
        <v>1883</v>
      </c>
      <c r="G695" s="7" t="s">
        <v>1884</v>
      </c>
      <c r="H695" s="7" t="s">
        <v>1885</v>
      </c>
      <c r="I695" s="9">
        <v>45296</v>
      </c>
    </row>
    <row r="696" spans="1:9" x14ac:dyDescent="0.15">
      <c r="A696" s="6">
        <v>695</v>
      </c>
      <c r="B696" s="7" t="s">
        <v>9</v>
      </c>
      <c r="C696" s="8">
        <v>1883</v>
      </c>
      <c r="D696" s="9">
        <v>45395</v>
      </c>
      <c r="E696" s="13" t="str">
        <f>+HYPERLINK("http://trademark.i-assist.jp/data/china/image_1883th/76212733.pdf","76212733")</f>
        <v>76212733</v>
      </c>
      <c r="F696" s="7" t="s">
        <v>1886</v>
      </c>
      <c r="G696" s="7" t="s">
        <v>1887</v>
      </c>
      <c r="H696" s="7" t="s">
        <v>1888</v>
      </c>
      <c r="I696" s="9">
        <v>45296</v>
      </c>
    </row>
    <row r="697" spans="1:9" x14ac:dyDescent="0.15">
      <c r="A697" s="6">
        <v>696</v>
      </c>
      <c r="B697" s="7" t="s">
        <v>9</v>
      </c>
      <c r="C697" s="8">
        <v>1883</v>
      </c>
      <c r="D697" s="9">
        <v>45395</v>
      </c>
      <c r="E697" s="13" t="str">
        <f>+HYPERLINK("http://trademark.i-assist.jp/data/china/image_1883th/76212762.pdf","76212762")</f>
        <v>76212762</v>
      </c>
      <c r="F697" s="7" t="s">
        <v>1889</v>
      </c>
      <c r="G697" s="7" t="s">
        <v>1890</v>
      </c>
      <c r="H697" s="7" t="s">
        <v>1891</v>
      </c>
      <c r="I697" s="9">
        <v>45296</v>
      </c>
    </row>
    <row r="698" spans="1:9" ht="27" x14ac:dyDescent="0.15">
      <c r="A698" s="6">
        <v>697</v>
      </c>
      <c r="B698" s="7" t="s">
        <v>9</v>
      </c>
      <c r="C698" s="8">
        <v>1883</v>
      </c>
      <c r="D698" s="9">
        <v>45395</v>
      </c>
      <c r="E698" s="13" t="str">
        <f>+HYPERLINK("http://trademark.i-assist.jp/data/china/image_1883th/76212780.pdf","76212780")</f>
        <v>76212780</v>
      </c>
      <c r="F698" s="7" t="s">
        <v>1892</v>
      </c>
      <c r="G698" s="7" t="s">
        <v>1893</v>
      </c>
      <c r="H698" s="7" t="s">
        <v>1894</v>
      </c>
      <c r="I698" s="9">
        <v>45296</v>
      </c>
    </row>
    <row r="699" spans="1:9" x14ac:dyDescent="0.15">
      <c r="A699" s="6">
        <v>698</v>
      </c>
      <c r="B699" s="7" t="s">
        <v>9</v>
      </c>
      <c r="C699" s="8">
        <v>1883</v>
      </c>
      <c r="D699" s="9">
        <v>45395</v>
      </c>
      <c r="E699" s="13" t="str">
        <f>+HYPERLINK("http://trademark.i-assist.jp/data/china/image_1883th/76212884.pdf","76212884")</f>
        <v>76212884</v>
      </c>
      <c r="F699" s="7" t="s">
        <v>1895</v>
      </c>
      <c r="G699" s="7" t="s">
        <v>1896</v>
      </c>
      <c r="H699" s="7" t="s">
        <v>1897</v>
      </c>
      <c r="I699" s="9">
        <v>45296</v>
      </c>
    </row>
    <row r="700" spans="1:9" x14ac:dyDescent="0.15">
      <c r="A700" s="6">
        <v>699</v>
      </c>
      <c r="B700" s="7" t="s">
        <v>9</v>
      </c>
      <c r="C700" s="8">
        <v>1883</v>
      </c>
      <c r="D700" s="9">
        <v>45395</v>
      </c>
      <c r="E700" s="13" t="str">
        <f>+HYPERLINK("http://trademark.i-assist.jp/data/china/image_1883th/76214895.pdf","76214895")</f>
        <v>76214895</v>
      </c>
      <c r="F700" s="7" t="s">
        <v>1898</v>
      </c>
      <c r="G700" s="7" t="s">
        <v>1899</v>
      </c>
      <c r="H700" s="7" t="s">
        <v>1900</v>
      </c>
      <c r="I700" s="9">
        <v>45296</v>
      </c>
    </row>
    <row r="701" spans="1:9" x14ac:dyDescent="0.15">
      <c r="A701" s="6">
        <v>700</v>
      </c>
      <c r="B701" s="7" t="s">
        <v>9</v>
      </c>
      <c r="C701" s="8">
        <v>1883</v>
      </c>
      <c r="D701" s="9">
        <v>45395</v>
      </c>
      <c r="E701" s="13" t="str">
        <f>+HYPERLINK("http://trademark.i-assist.jp/data/china/image_1883th/76215079.pdf","76215079")</f>
        <v>76215079</v>
      </c>
      <c r="F701" s="7" t="s">
        <v>1901</v>
      </c>
      <c r="G701" s="7" t="s">
        <v>1902</v>
      </c>
      <c r="H701" s="7" t="s">
        <v>1903</v>
      </c>
      <c r="I701" s="9">
        <v>45296</v>
      </c>
    </row>
    <row r="702" spans="1:9" ht="27" x14ac:dyDescent="0.15">
      <c r="A702" s="6">
        <v>701</v>
      </c>
      <c r="B702" s="7" t="s">
        <v>9</v>
      </c>
      <c r="C702" s="8">
        <v>1883</v>
      </c>
      <c r="D702" s="9">
        <v>45395</v>
      </c>
      <c r="E702" s="13" t="str">
        <f>+HYPERLINK("http://trademark.i-assist.jp/data/china/image_1883th/76216747.pdf","76216747")</f>
        <v>76216747</v>
      </c>
      <c r="F702" s="7" t="s">
        <v>1904</v>
      </c>
      <c r="G702" s="7" t="s">
        <v>1905</v>
      </c>
      <c r="H702" s="7" t="s">
        <v>1906</v>
      </c>
      <c r="I702" s="9">
        <v>45296</v>
      </c>
    </row>
    <row r="703" spans="1:9" x14ac:dyDescent="0.15">
      <c r="A703" s="6">
        <v>702</v>
      </c>
      <c r="B703" s="7" t="s">
        <v>9</v>
      </c>
      <c r="C703" s="8">
        <v>1883</v>
      </c>
      <c r="D703" s="9">
        <v>45395</v>
      </c>
      <c r="E703" s="13" t="str">
        <f>+HYPERLINK("http://trademark.i-assist.jp/data/china/image_1883th/76217382.pdf","76217382")</f>
        <v>76217382</v>
      </c>
      <c r="F703" s="7" t="s">
        <v>1907</v>
      </c>
      <c r="G703" s="7" t="s">
        <v>1908</v>
      </c>
      <c r="H703" s="7" t="s">
        <v>1909</v>
      </c>
      <c r="I703" s="9">
        <v>45296</v>
      </c>
    </row>
    <row r="704" spans="1:9" x14ac:dyDescent="0.15">
      <c r="A704" s="6">
        <v>703</v>
      </c>
      <c r="B704" s="7" t="s">
        <v>9</v>
      </c>
      <c r="C704" s="8">
        <v>1883</v>
      </c>
      <c r="D704" s="9">
        <v>45395</v>
      </c>
      <c r="E704" s="13" t="str">
        <f>+HYPERLINK("http://trademark.i-assist.jp/data/china/image_1883th/76218060.pdf","76218060")</f>
        <v>76218060</v>
      </c>
      <c r="F704" s="7" t="s">
        <v>1860</v>
      </c>
      <c r="G704" s="7" t="s">
        <v>1861</v>
      </c>
      <c r="H704" s="7" t="s">
        <v>1910</v>
      </c>
      <c r="I704" s="9">
        <v>45296</v>
      </c>
    </row>
    <row r="705" spans="1:9" x14ac:dyDescent="0.15">
      <c r="A705" s="6">
        <v>704</v>
      </c>
      <c r="B705" s="7" t="s">
        <v>9</v>
      </c>
      <c r="C705" s="8">
        <v>1883</v>
      </c>
      <c r="D705" s="9">
        <v>45395</v>
      </c>
      <c r="E705" s="13" t="str">
        <f>+HYPERLINK("http://trademark.i-assist.jp/data/china/image_1883th/76218327.pdf","76218327")</f>
        <v>76218327</v>
      </c>
      <c r="F705" s="7" t="s">
        <v>1911</v>
      </c>
      <c r="G705" s="7" t="s">
        <v>1628</v>
      </c>
      <c r="H705" s="7" t="s">
        <v>1912</v>
      </c>
      <c r="I705" s="9">
        <v>45296</v>
      </c>
    </row>
    <row r="706" spans="1:9" ht="27" x14ac:dyDescent="0.15">
      <c r="A706" s="6">
        <v>705</v>
      </c>
      <c r="B706" s="7" t="s">
        <v>9</v>
      </c>
      <c r="C706" s="8">
        <v>1883</v>
      </c>
      <c r="D706" s="9">
        <v>45395</v>
      </c>
      <c r="E706" s="13" t="str">
        <f>+HYPERLINK("http://trademark.i-assist.jp/data/china/image_1883th/76218790.pdf","76218790")</f>
        <v>76218790</v>
      </c>
      <c r="F706" s="7" t="s">
        <v>1913</v>
      </c>
      <c r="G706" s="7" t="s">
        <v>1914</v>
      </c>
      <c r="H706" s="7" t="s">
        <v>1915</v>
      </c>
      <c r="I706" s="9">
        <v>45296</v>
      </c>
    </row>
    <row r="707" spans="1:9" ht="27" x14ac:dyDescent="0.15">
      <c r="A707" s="6">
        <v>706</v>
      </c>
      <c r="B707" s="7" t="s">
        <v>9</v>
      </c>
      <c r="C707" s="8">
        <v>1883</v>
      </c>
      <c r="D707" s="9">
        <v>45395</v>
      </c>
      <c r="E707" s="13" t="str">
        <f>+HYPERLINK("http://trademark.i-assist.jp/data/china/image_1883th/76219091.pdf","76219091")</f>
        <v>76219091</v>
      </c>
      <c r="F707" s="7" t="s">
        <v>1916</v>
      </c>
      <c r="G707" s="7" t="s">
        <v>1917</v>
      </c>
      <c r="H707" s="7" t="s">
        <v>1918</v>
      </c>
      <c r="I707" s="9">
        <v>45296</v>
      </c>
    </row>
    <row r="708" spans="1:9" x14ac:dyDescent="0.15">
      <c r="A708" s="6">
        <v>707</v>
      </c>
      <c r="B708" s="7" t="s">
        <v>9</v>
      </c>
      <c r="C708" s="8">
        <v>1883</v>
      </c>
      <c r="D708" s="9">
        <v>45395</v>
      </c>
      <c r="E708" s="13" t="str">
        <f>+HYPERLINK("http://trademark.i-assist.jp/data/china/image_1883th/76221510.pdf","76221510")</f>
        <v>76221510</v>
      </c>
      <c r="F708" s="7" t="s">
        <v>1919</v>
      </c>
      <c r="G708" s="7" t="s">
        <v>1920</v>
      </c>
      <c r="H708" s="7" t="s">
        <v>1921</v>
      </c>
      <c r="I708" s="9">
        <v>45296</v>
      </c>
    </row>
    <row r="709" spans="1:9" x14ac:dyDescent="0.15">
      <c r="A709" s="6">
        <v>708</v>
      </c>
      <c r="B709" s="7" t="s">
        <v>9</v>
      </c>
      <c r="C709" s="8">
        <v>1883</v>
      </c>
      <c r="D709" s="9">
        <v>45395</v>
      </c>
      <c r="E709" s="13" t="str">
        <f>+HYPERLINK("http://trademark.i-assist.jp/data/china/image_1883th/76221525.pdf","76221525")</f>
        <v>76221525</v>
      </c>
      <c r="F709" s="7" t="s">
        <v>1922</v>
      </c>
      <c r="G709" s="7" t="s">
        <v>1923</v>
      </c>
      <c r="H709" s="7" t="s">
        <v>1924</v>
      </c>
      <c r="I709" s="9">
        <v>45296</v>
      </c>
    </row>
    <row r="710" spans="1:9" x14ac:dyDescent="0.15">
      <c r="A710" s="6">
        <v>709</v>
      </c>
      <c r="B710" s="7" t="s">
        <v>9</v>
      </c>
      <c r="C710" s="8">
        <v>1883</v>
      </c>
      <c r="D710" s="9">
        <v>45395</v>
      </c>
      <c r="E710" s="13" t="str">
        <f>+HYPERLINK("http://trademark.i-assist.jp/data/china/image_1883th/76221589.pdf","76221589")</f>
        <v>76221589</v>
      </c>
      <c r="F710" s="7" t="s">
        <v>1925</v>
      </c>
      <c r="G710" s="7" t="s">
        <v>1926</v>
      </c>
      <c r="H710" s="7" t="s">
        <v>1927</v>
      </c>
      <c r="I710" s="9">
        <v>45296</v>
      </c>
    </row>
    <row r="711" spans="1:9" x14ac:dyDescent="0.15">
      <c r="A711" s="6">
        <v>710</v>
      </c>
      <c r="B711" s="7" t="s">
        <v>9</v>
      </c>
      <c r="C711" s="8">
        <v>1883</v>
      </c>
      <c r="D711" s="9">
        <v>45395</v>
      </c>
      <c r="E711" s="13" t="str">
        <f>+HYPERLINK("http://trademark.i-assist.jp/data/china/image_1883th/76221786.pdf","76221786")</f>
        <v>76221786</v>
      </c>
      <c r="F711" s="7" t="s">
        <v>1928</v>
      </c>
      <c r="G711" s="7" t="s">
        <v>1929</v>
      </c>
      <c r="H711" s="7" t="s">
        <v>1930</v>
      </c>
      <c r="I711" s="9">
        <v>45296</v>
      </c>
    </row>
    <row r="712" spans="1:9" ht="27" x14ac:dyDescent="0.15">
      <c r="A712" s="6">
        <v>711</v>
      </c>
      <c r="B712" s="7" t="s">
        <v>9</v>
      </c>
      <c r="C712" s="8">
        <v>1883</v>
      </c>
      <c r="D712" s="9">
        <v>45395</v>
      </c>
      <c r="E712" s="13" t="str">
        <f>+HYPERLINK("http://trademark.i-assist.jp/data/china/image_1883th/76221836.pdf","76221836")</f>
        <v>76221836</v>
      </c>
      <c r="F712" s="7" t="s">
        <v>1931</v>
      </c>
      <c r="G712" s="7" t="s">
        <v>1932</v>
      </c>
      <c r="H712" s="7" t="s">
        <v>1933</v>
      </c>
      <c r="I712" s="9">
        <v>45296</v>
      </c>
    </row>
    <row r="713" spans="1:9" x14ac:dyDescent="0.15">
      <c r="A713" s="6">
        <v>712</v>
      </c>
      <c r="B713" s="7" t="s">
        <v>9</v>
      </c>
      <c r="C713" s="8">
        <v>1883</v>
      </c>
      <c r="D713" s="9">
        <v>45395</v>
      </c>
      <c r="E713" s="13" t="str">
        <f>+HYPERLINK("http://trademark.i-assist.jp/data/china/image_1883th/76222139.pdf","76222139")</f>
        <v>76222139</v>
      </c>
      <c r="F713" s="7" t="s">
        <v>1934</v>
      </c>
      <c r="G713" s="7" t="s">
        <v>1935</v>
      </c>
      <c r="H713" s="7" t="s">
        <v>1936</v>
      </c>
      <c r="I713" s="9">
        <v>45296</v>
      </c>
    </row>
    <row r="714" spans="1:9" x14ac:dyDescent="0.15">
      <c r="A714" s="6">
        <v>713</v>
      </c>
      <c r="B714" s="7" t="s">
        <v>9</v>
      </c>
      <c r="C714" s="8">
        <v>1883</v>
      </c>
      <c r="D714" s="9">
        <v>45395</v>
      </c>
      <c r="E714" s="13" t="str">
        <f>+HYPERLINK("http://trademark.i-assist.jp/data/china/image_1883th/76222778.pdf","76222778")</f>
        <v>76222778</v>
      </c>
      <c r="F714" s="7" t="s">
        <v>1937</v>
      </c>
      <c r="G714" s="7" t="s">
        <v>1938</v>
      </c>
      <c r="H714" s="7" t="s">
        <v>1939</v>
      </c>
      <c r="I714" s="9">
        <v>45296</v>
      </c>
    </row>
    <row r="715" spans="1:9" ht="27" x14ac:dyDescent="0.15">
      <c r="A715" s="6">
        <v>714</v>
      </c>
      <c r="B715" s="7" t="s">
        <v>9</v>
      </c>
      <c r="C715" s="8">
        <v>1883</v>
      </c>
      <c r="D715" s="9">
        <v>45395</v>
      </c>
      <c r="E715" s="13" t="str">
        <f>+HYPERLINK("http://trademark.i-assist.jp/data/china/image_1883th/76222806.pdf","76222806")</f>
        <v>76222806</v>
      </c>
      <c r="F715" s="7" t="s">
        <v>1940</v>
      </c>
      <c r="G715" s="7" t="s">
        <v>1941</v>
      </c>
      <c r="H715" s="7" t="s">
        <v>1942</v>
      </c>
      <c r="I715" s="9">
        <v>45296</v>
      </c>
    </row>
    <row r="716" spans="1:9" x14ac:dyDescent="0.15">
      <c r="A716" s="6">
        <v>715</v>
      </c>
      <c r="B716" s="7" t="s">
        <v>9</v>
      </c>
      <c r="C716" s="8">
        <v>1883</v>
      </c>
      <c r="D716" s="9">
        <v>45395</v>
      </c>
      <c r="E716" s="13" t="str">
        <f>+HYPERLINK("http://trademark.i-assist.jp/data/china/image_1883th/76223053.pdf","76223053")</f>
        <v>76223053</v>
      </c>
      <c r="F716" s="7" t="s">
        <v>1943</v>
      </c>
      <c r="G716" s="7" t="s">
        <v>1944</v>
      </c>
      <c r="H716" s="7" t="s">
        <v>1945</v>
      </c>
      <c r="I716" s="9">
        <v>45296</v>
      </c>
    </row>
    <row r="717" spans="1:9" ht="27" x14ac:dyDescent="0.15">
      <c r="A717" s="6">
        <v>716</v>
      </c>
      <c r="B717" s="7" t="s">
        <v>9</v>
      </c>
      <c r="C717" s="8">
        <v>1883</v>
      </c>
      <c r="D717" s="9">
        <v>45395</v>
      </c>
      <c r="E717" s="13" t="str">
        <f>+HYPERLINK("http://trademark.i-assist.jp/data/china/image_1883th/76223778.pdf","76223778")</f>
        <v>76223778</v>
      </c>
      <c r="F717" s="7" t="s">
        <v>1904</v>
      </c>
      <c r="G717" s="7" t="s">
        <v>1905</v>
      </c>
      <c r="H717" s="7" t="s">
        <v>1946</v>
      </c>
      <c r="I717" s="9">
        <v>45296</v>
      </c>
    </row>
    <row r="718" spans="1:9" x14ac:dyDescent="0.15">
      <c r="A718" s="6">
        <v>717</v>
      </c>
      <c r="B718" s="7" t="s">
        <v>9</v>
      </c>
      <c r="C718" s="8">
        <v>1883</v>
      </c>
      <c r="D718" s="9">
        <v>45395</v>
      </c>
      <c r="E718" s="13" t="str">
        <f>+HYPERLINK("http://trademark.i-assist.jp/data/china/image_1883th/76223934.pdf","76223934")</f>
        <v>76223934</v>
      </c>
      <c r="F718" s="7" t="s">
        <v>1947</v>
      </c>
      <c r="G718" s="7" t="s">
        <v>1948</v>
      </c>
      <c r="H718" s="7" t="s">
        <v>1949</v>
      </c>
      <c r="I718" s="9">
        <v>45296</v>
      </c>
    </row>
    <row r="719" spans="1:9" x14ac:dyDescent="0.15">
      <c r="A719" s="6">
        <v>718</v>
      </c>
      <c r="B719" s="7" t="s">
        <v>9</v>
      </c>
      <c r="C719" s="8">
        <v>1883</v>
      </c>
      <c r="D719" s="9">
        <v>45395</v>
      </c>
      <c r="E719" s="13" t="str">
        <f>+HYPERLINK("http://trademark.i-assist.jp/data/china/image_1883th/76223957.pdf","76223957")</f>
        <v>76223957</v>
      </c>
      <c r="F719" s="7" t="s">
        <v>1950</v>
      </c>
      <c r="G719" s="7" t="s">
        <v>1951</v>
      </c>
      <c r="H719" s="7" t="s">
        <v>1952</v>
      </c>
      <c r="I719" s="9">
        <v>45296</v>
      </c>
    </row>
    <row r="720" spans="1:9" x14ac:dyDescent="0.15">
      <c r="A720" s="6">
        <v>719</v>
      </c>
      <c r="B720" s="7" t="s">
        <v>9</v>
      </c>
      <c r="C720" s="8">
        <v>1883</v>
      </c>
      <c r="D720" s="9">
        <v>45395</v>
      </c>
      <c r="E720" s="13" t="str">
        <f>+HYPERLINK("http://trademark.i-assist.jp/data/china/image_1883th/76224023.pdf","76224023")</f>
        <v>76224023</v>
      </c>
      <c r="F720" s="7" t="s">
        <v>1953</v>
      </c>
      <c r="G720" s="7" t="s">
        <v>1954</v>
      </c>
      <c r="H720" s="7" t="s">
        <v>1955</v>
      </c>
      <c r="I720" s="9">
        <v>45296</v>
      </c>
    </row>
    <row r="721" spans="1:9" ht="27" x14ac:dyDescent="0.15">
      <c r="A721" s="6">
        <v>720</v>
      </c>
      <c r="B721" s="7" t="s">
        <v>9</v>
      </c>
      <c r="C721" s="8">
        <v>1883</v>
      </c>
      <c r="D721" s="9">
        <v>45395</v>
      </c>
      <c r="E721" s="13" t="str">
        <f>+HYPERLINK("http://trademark.i-assist.jp/data/china/image_1883th/76224177.pdf","76224177")</f>
        <v>76224177</v>
      </c>
      <c r="F721" s="7" t="s">
        <v>1956</v>
      </c>
      <c r="G721" s="7" t="s">
        <v>1870</v>
      </c>
      <c r="H721" s="7" t="s">
        <v>1957</v>
      </c>
      <c r="I721" s="9">
        <v>45296</v>
      </c>
    </row>
    <row r="722" spans="1:9" x14ac:dyDescent="0.15">
      <c r="A722" s="6">
        <v>721</v>
      </c>
      <c r="B722" s="7" t="s">
        <v>9</v>
      </c>
      <c r="C722" s="8">
        <v>1883</v>
      </c>
      <c r="D722" s="9">
        <v>45395</v>
      </c>
      <c r="E722" s="13" t="str">
        <f>+HYPERLINK("http://trademark.i-assist.jp/data/china/image_1883th/76224720.pdf","76224720")</f>
        <v>76224720</v>
      </c>
      <c r="F722" s="7" t="s">
        <v>1958</v>
      </c>
      <c r="G722" s="7" t="s">
        <v>1628</v>
      </c>
      <c r="H722" s="7" t="s">
        <v>1959</v>
      </c>
      <c r="I722" s="9">
        <v>45296</v>
      </c>
    </row>
    <row r="723" spans="1:9" x14ac:dyDescent="0.15">
      <c r="A723" s="6">
        <v>722</v>
      </c>
      <c r="B723" s="7" t="s">
        <v>9</v>
      </c>
      <c r="C723" s="8">
        <v>1883</v>
      </c>
      <c r="D723" s="9">
        <v>45395</v>
      </c>
      <c r="E723" s="13" t="str">
        <f>+HYPERLINK("http://trademark.i-assist.jp/data/china/image_1883th/76224835.pdf","76224835")</f>
        <v>76224835</v>
      </c>
      <c r="F723" s="7" t="s">
        <v>1960</v>
      </c>
      <c r="G723" s="7" t="s">
        <v>1961</v>
      </c>
      <c r="H723" s="7" t="s">
        <v>1962</v>
      </c>
      <c r="I723" s="9">
        <v>45296</v>
      </c>
    </row>
    <row r="724" spans="1:9" x14ac:dyDescent="0.15">
      <c r="A724" s="6">
        <v>723</v>
      </c>
      <c r="B724" s="7" t="s">
        <v>9</v>
      </c>
      <c r="C724" s="8">
        <v>1883</v>
      </c>
      <c r="D724" s="9">
        <v>45395</v>
      </c>
      <c r="E724" s="13" t="str">
        <f>+HYPERLINK("http://trademark.i-assist.jp/data/china/image_1883th/76225135.pdf","76225135")</f>
        <v>76225135</v>
      </c>
      <c r="F724" s="7" t="s">
        <v>1963</v>
      </c>
      <c r="G724" s="7" t="s">
        <v>1964</v>
      </c>
      <c r="H724" s="7" t="s">
        <v>1965</v>
      </c>
      <c r="I724" s="9">
        <v>45296</v>
      </c>
    </row>
    <row r="725" spans="1:9" x14ac:dyDescent="0.15">
      <c r="A725" s="6">
        <v>724</v>
      </c>
      <c r="B725" s="7" t="s">
        <v>9</v>
      </c>
      <c r="C725" s="8">
        <v>1883</v>
      </c>
      <c r="D725" s="9">
        <v>45395</v>
      </c>
      <c r="E725" s="13" t="str">
        <f>+HYPERLINK("http://trademark.i-assist.jp/data/china/image_1883th/76225537.pdf","76225537")</f>
        <v>76225537</v>
      </c>
      <c r="F725" s="7" t="s">
        <v>1966</v>
      </c>
      <c r="G725" s="7" t="s">
        <v>1967</v>
      </c>
      <c r="H725" s="7" t="s">
        <v>1968</v>
      </c>
      <c r="I725" s="9">
        <v>45296</v>
      </c>
    </row>
    <row r="726" spans="1:9" x14ac:dyDescent="0.15">
      <c r="A726" s="6">
        <v>725</v>
      </c>
      <c r="B726" s="7" t="s">
        <v>9</v>
      </c>
      <c r="C726" s="8">
        <v>1883</v>
      </c>
      <c r="D726" s="9">
        <v>45395</v>
      </c>
      <c r="E726" s="13" t="str">
        <f>+HYPERLINK("http://trademark.i-assist.jp/data/china/image_1883th/76226003.pdf","76226003")</f>
        <v>76226003</v>
      </c>
      <c r="F726" s="7" t="s">
        <v>1969</v>
      </c>
      <c r="G726" s="7" t="s">
        <v>1970</v>
      </c>
      <c r="H726" s="7" t="s">
        <v>1971</v>
      </c>
      <c r="I726" s="9">
        <v>45296</v>
      </c>
    </row>
    <row r="727" spans="1:9" x14ac:dyDescent="0.15">
      <c r="A727" s="6">
        <v>726</v>
      </c>
      <c r="B727" s="7" t="s">
        <v>9</v>
      </c>
      <c r="C727" s="8">
        <v>1883</v>
      </c>
      <c r="D727" s="9">
        <v>45395</v>
      </c>
      <c r="E727" s="13" t="str">
        <f>+HYPERLINK("http://trademark.i-assist.jp/data/china/image_1883th/76226169.pdf","76226169")</f>
        <v>76226169</v>
      </c>
      <c r="F727" s="7" t="s">
        <v>1972</v>
      </c>
      <c r="G727" s="7" t="s">
        <v>1973</v>
      </c>
      <c r="H727" s="7" t="s">
        <v>1974</v>
      </c>
      <c r="I727" s="9">
        <v>45296</v>
      </c>
    </row>
    <row r="728" spans="1:9" ht="27" x14ac:dyDescent="0.15">
      <c r="A728" s="6">
        <v>727</v>
      </c>
      <c r="B728" s="7" t="s">
        <v>9</v>
      </c>
      <c r="C728" s="8">
        <v>1883</v>
      </c>
      <c r="D728" s="9">
        <v>45395</v>
      </c>
      <c r="E728" s="13" t="str">
        <f>+HYPERLINK("http://trademark.i-assist.jp/data/china/image_1883th/76226376.pdf","76226376")</f>
        <v>76226376</v>
      </c>
      <c r="F728" s="7" t="s">
        <v>1975</v>
      </c>
      <c r="G728" s="7" t="s">
        <v>1976</v>
      </c>
      <c r="H728" s="7" t="s">
        <v>1977</v>
      </c>
      <c r="I728" s="9">
        <v>45296</v>
      </c>
    </row>
    <row r="729" spans="1:9" ht="27" x14ac:dyDescent="0.15">
      <c r="A729" s="6">
        <v>728</v>
      </c>
      <c r="B729" s="7" t="s">
        <v>9</v>
      </c>
      <c r="C729" s="8">
        <v>1883</v>
      </c>
      <c r="D729" s="9">
        <v>45395</v>
      </c>
      <c r="E729" s="13" t="str">
        <f>+HYPERLINK("http://trademark.i-assist.jp/data/china/image_1883th/76226747.pdf","76226747")</f>
        <v>76226747</v>
      </c>
      <c r="F729" s="7" t="s">
        <v>1978</v>
      </c>
      <c r="G729" s="7" t="s">
        <v>1290</v>
      </c>
      <c r="H729" s="7" t="s">
        <v>1979</v>
      </c>
      <c r="I729" s="9">
        <v>45296</v>
      </c>
    </row>
    <row r="730" spans="1:9" ht="27" x14ac:dyDescent="0.15">
      <c r="A730" s="6">
        <v>729</v>
      </c>
      <c r="B730" s="7" t="s">
        <v>9</v>
      </c>
      <c r="C730" s="8">
        <v>1883</v>
      </c>
      <c r="D730" s="9">
        <v>45395</v>
      </c>
      <c r="E730" s="13" t="str">
        <f>+HYPERLINK("http://trademark.i-assist.jp/data/china/image_1883th/76226949.pdf","76226949")</f>
        <v>76226949</v>
      </c>
      <c r="F730" s="7" t="s">
        <v>1980</v>
      </c>
      <c r="G730" s="7" t="s">
        <v>1914</v>
      </c>
      <c r="H730" s="7" t="s">
        <v>1981</v>
      </c>
      <c r="I730" s="9">
        <v>45296</v>
      </c>
    </row>
    <row r="731" spans="1:9" ht="27" x14ac:dyDescent="0.15">
      <c r="A731" s="6">
        <v>730</v>
      </c>
      <c r="B731" s="7" t="s">
        <v>9</v>
      </c>
      <c r="C731" s="8">
        <v>1883</v>
      </c>
      <c r="D731" s="9">
        <v>45395</v>
      </c>
      <c r="E731" s="13" t="str">
        <f>+HYPERLINK("http://trademark.i-assist.jp/data/china/image_1883th/76226952.pdf","76226952")</f>
        <v>76226952</v>
      </c>
      <c r="F731" s="7" t="s">
        <v>1982</v>
      </c>
      <c r="G731" s="7" t="s">
        <v>1914</v>
      </c>
      <c r="H731" s="7" t="s">
        <v>1983</v>
      </c>
      <c r="I731" s="9">
        <v>45296</v>
      </c>
    </row>
    <row r="732" spans="1:9" ht="27" x14ac:dyDescent="0.15">
      <c r="A732" s="6">
        <v>731</v>
      </c>
      <c r="B732" s="7" t="s">
        <v>9</v>
      </c>
      <c r="C732" s="8">
        <v>1883</v>
      </c>
      <c r="D732" s="9">
        <v>45395</v>
      </c>
      <c r="E732" s="13" t="str">
        <f>+HYPERLINK("http://trademark.i-assist.jp/data/china/image_1883th/76226988.pdf","76226988")</f>
        <v>76226988</v>
      </c>
      <c r="F732" s="7" t="s">
        <v>1984</v>
      </c>
      <c r="G732" s="7" t="s">
        <v>1914</v>
      </c>
      <c r="H732" s="7" t="s">
        <v>1985</v>
      </c>
      <c r="I732" s="9">
        <v>45296</v>
      </c>
    </row>
    <row r="733" spans="1:9" x14ac:dyDescent="0.15">
      <c r="A733" s="6">
        <v>732</v>
      </c>
      <c r="B733" s="7" t="s">
        <v>9</v>
      </c>
      <c r="C733" s="8">
        <v>1883</v>
      </c>
      <c r="D733" s="9">
        <v>45395</v>
      </c>
      <c r="E733" s="13" t="str">
        <f>+HYPERLINK("http://trademark.i-assist.jp/data/china/image_1883th/76227615.pdf","76227615")</f>
        <v>76227615</v>
      </c>
      <c r="F733" s="7" t="s">
        <v>1986</v>
      </c>
      <c r="G733" s="7" t="s">
        <v>1987</v>
      </c>
      <c r="H733" s="7" t="s">
        <v>1988</v>
      </c>
      <c r="I733" s="9">
        <v>45296</v>
      </c>
    </row>
    <row r="734" spans="1:9" x14ac:dyDescent="0.15">
      <c r="A734" s="6">
        <v>733</v>
      </c>
      <c r="B734" s="7" t="s">
        <v>9</v>
      </c>
      <c r="C734" s="8">
        <v>1883</v>
      </c>
      <c r="D734" s="9">
        <v>45395</v>
      </c>
      <c r="E734" s="13" t="str">
        <f>+HYPERLINK("http://trademark.i-assist.jp/data/china/image_1883th/76228321.pdf","76228321")</f>
        <v>76228321</v>
      </c>
      <c r="F734" s="7" t="s">
        <v>1989</v>
      </c>
      <c r="G734" s="7" t="s">
        <v>1990</v>
      </c>
      <c r="H734" s="7" t="s">
        <v>1991</v>
      </c>
      <c r="I734" s="9">
        <v>45296</v>
      </c>
    </row>
    <row r="735" spans="1:9" ht="27" x14ac:dyDescent="0.15">
      <c r="A735" s="6">
        <v>734</v>
      </c>
      <c r="B735" s="7" t="s">
        <v>9</v>
      </c>
      <c r="C735" s="8">
        <v>1883</v>
      </c>
      <c r="D735" s="9">
        <v>45395</v>
      </c>
      <c r="E735" s="13" t="str">
        <f>+HYPERLINK("http://trademark.i-assist.jp/data/china/image_1883th/76228502.pdf","76228502")</f>
        <v>76228502</v>
      </c>
      <c r="F735" s="7" t="s">
        <v>1992</v>
      </c>
      <c r="G735" s="7" t="s">
        <v>1914</v>
      </c>
      <c r="H735" s="7" t="s">
        <v>1993</v>
      </c>
      <c r="I735" s="9">
        <v>45296</v>
      </c>
    </row>
    <row r="736" spans="1:9" x14ac:dyDescent="0.15">
      <c r="A736" s="6">
        <v>735</v>
      </c>
      <c r="B736" s="7" t="s">
        <v>9</v>
      </c>
      <c r="C736" s="8">
        <v>1883</v>
      </c>
      <c r="D736" s="9">
        <v>45395</v>
      </c>
      <c r="E736" s="13" t="str">
        <f>+HYPERLINK("http://trademark.i-assist.jp/data/china/image_1883th/76228900.pdf","76228900")</f>
        <v>76228900</v>
      </c>
      <c r="F736" s="7" t="s">
        <v>1994</v>
      </c>
      <c r="G736" s="7" t="s">
        <v>1855</v>
      </c>
      <c r="H736" s="7" t="s">
        <v>1995</v>
      </c>
      <c r="I736" s="9">
        <v>45296</v>
      </c>
    </row>
    <row r="737" spans="1:9" ht="27" x14ac:dyDescent="0.15">
      <c r="A737" s="6">
        <v>736</v>
      </c>
      <c r="B737" s="7" t="s">
        <v>9</v>
      </c>
      <c r="C737" s="8">
        <v>1883</v>
      </c>
      <c r="D737" s="9">
        <v>45395</v>
      </c>
      <c r="E737" s="13" t="str">
        <f>+HYPERLINK("http://trademark.i-assist.jp/data/china/image_1883th/76228931.pdf","76228931")</f>
        <v>76228931</v>
      </c>
      <c r="F737" s="7" t="s">
        <v>1996</v>
      </c>
      <c r="G737" s="7" t="s">
        <v>1997</v>
      </c>
      <c r="H737" s="7" t="s">
        <v>1998</v>
      </c>
      <c r="I737" s="9">
        <v>45296</v>
      </c>
    </row>
    <row r="738" spans="1:9" x14ac:dyDescent="0.15">
      <c r="A738" s="6">
        <v>737</v>
      </c>
      <c r="B738" s="7" t="s">
        <v>9</v>
      </c>
      <c r="C738" s="8">
        <v>1883</v>
      </c>
      <c r="D738" s="9">
        <v>45395</v>
      </c>
      <c r="E738" s="13" t="str">
        <f>+HYPERLINK("http://trademark.i-assist.jp/data/china/image_1883th/76228956.pdf","76228956")</f>
        <v>76228956</v>
      </c>
      <c r="F738" s="7" t="s">
        <v>1999</v>
      </c>
      <c r="G738" s="7" t="s">
        <v>2000</v>
      </c>
      <c r="H738" s="7" t="s">
        <v>2001</v>
      </c>
      <c r="I738" s="9">
        <v>45296</v>
      </c>
    </row>
    <row r="739" spans="1:9" x14ac:dyDescent="0.15">
      <c r="A739" s="6">
        <v>738</v>
      </c>
      <c r="B739" s="7" t="s">
        <v>9</v>
      </c>
      <c r="C739" s="8">
        <v>1883</v>
      </c>
      <c r="D739" s="9">
        <v>45395</v>
      </c>
      <c r="E739" s="13" t="str">
        <f>+HYPERLINK("http://trademark.i-assist.jp/data/china/image_1883th/76229482.pdf","76229482")</f>
        <v>76229482</v>
      </c>
      <c r="F739" s="7" t="s">
        <v>2002</v>
      </c>
      <c r="G739" s="7" t="s">
        <v>2003</v>
      </c>
      <c r="H739" s="7" t="s">
        <v>2004</v>
      </c>
      <c r="I739" s="9">
        <v>45296</v>
      </c>
    </row>
    <row r="740" spans="1:9" x14ac:dyDescent="0.15">
      <c r="A740" s="6">
        <v>739</v>
      </c>
      <c r="B740" s="7" t="s">
        <v>9</v>
      </c>
      <c r="C740" s="8">
        <v>1883</v>
      </c>
      <c r="D740" s="9">
        <v>45395</v>
      </c>
      <c r="E740" s="13" t="str">
        <f>+HYPERLINK("http://trademark.i-assist.jp/data/china/image_1883th/76229603.pdf","76229603")</f>
        <v>76229603</v>
      </c>
      <c r="F740" s="7" t="s">
        <v>2005</v>
      </c>
      <c r="G740" s="7" t="s">
        <v>1628</v>
      </c>
      <c r="H740" s="7" t="s">
        <v>2006</v>
      </c>
      <c r="I740" s="9">
        <v>45296</v>
      </c>
    </row>
    <row r="741" spans="1:9" x14ac:dyDescent="0.15">
      <c r="A741" s="6">
        <v>740</v>
      </c>
      <c r="B741" s="7" t="s">
        <v>9</v>
      </c>
      <c r="C741" s="8">
        <v>1883</v>
      </c>
      <c r="D741" s="9">
        <v>45395</v>
      </c>
      <c r="E741" s="13" t="str">
        <f>+HYPERLINK("http://trademark.i-assist.jp/data/china/image_1883th/76229902.pdf","76229902")</f>
        <v>76229902</v>
      </c>
      <c r="F741" s="7" t="s">
        <v>2007</v>
      </c>
      <c r="G741" s="7" t="s">
        <v>2008</v>
      </c>
      <c r="H741" s="7" t="s">
        <v>2009</v>
      </c>
      <c r="I741" s="9">
        <v>45296</v>
      </c>
    </row>
    <row r="742" spans="1:9" x14ac:dyDescent="0.15">
      <c r="A742" s="6">
        <v>741</v>
      </c>
      <c r="B742" s="7" t="s">
        <v>9</v>
      </c>
      <c r="C742" s="8">
        <v>1883</v>
      </c>
      <c r="D742" s="9">
        <v>45395</v>
      </c>
      <c r="E742" s="13" t="str">
        <f>+HYPERLINK("http://trademark.i-assist.jp/data/china/image_1883th/76229911.pdf","76229911")</f>
        <v>76229911</v>
      </c>
      <c r="F742" s="7" t="s">
        <v>2010</v>
      </c>
      <c r="G742" s="7" t="s">
        <v>2011</v>
      </c>
      <c r="H742" s="7" t="s">
        <v>2012</v>
      </c>
      <c r="I742" s="9">
        <v>45296</v>
      </c>
    </row>
    <row r="743" spans="1:9" x14ac:dyDescent="0.15">
      <c r="A743" s="6">
        <v>742</v>
      </c>
      <c r="B743" s="7" t="s">
        <v>9</v>
      </c>
      <c r="C743" s="8">
        <v>1883</v>
      </c>
      <c r="D743" s="9">
        <v>45395</v>
      </c>
      <c r="E743" s="13" t="str">
        <f>+HYPERLINK("http://trademark.i-assist.jp/data/china/image_1883th/76230041.pdf","76230041")</f>
        <v>76230041</v>
      </c>
      <c r="F743" s="7" t="s">
        <v>2013</v>
      </c>
      <c r="G743" s="7" t="s">
        <v>2014</v>
      </c>
      <c r="H743" s="7" t="s">
        <v>2015</v>
      </c>
      <c r="I743" s="9">
        <v>45296</v>
      </c>
    </row>
    <row r="744" spans="1:9" x14ac:dyDescent="0.15">
      <c r="A744" s="6">
        <v>743</v>
      </c>
      <c r="B744" s="7" t="s">
        <v>9</v>
      </c>
      <c r="C744" s="8">
        <v>1883</v>
      </c>
      <c r="D744" s="9">
        <v>45395</v>
      </c>
      <c r="E744" s="13" t="str">
        <f>+HYPERLINK("http://trademark.i-assist.jp/data/china/image_1883th/76230283.pdf","76230283")</f>
        <v>76230283</v>
      </c>
      <c r="F744" s="7" t="s">
        <v>2016</v>
      </c>
      <c r="G744" s="7" t="s">
        <v>2017</v>
      </c>
      <c r="H744" s="7" t="s">
        <v>2018</v>
      </c>
      <c r="I744" s="9">
        <v>45296</v>
      </c>
    </row>
    <row r="745" spans="1:9" ht="27" x14ac:dyDescent="0.15">
      <c r="A745" s="6">
        <v>744</v>
      </c>
      <c r="B745" s="7" t="s">
        <v>9</v>
      </c>
      <c r="C745" s="8">
        <v>1883</v>
      </c>
      <c r="D745" s="9">
        <v>45395</v>
      </c>
      <c r="E745" s="13" t="str">
        <f>+HYPERLINK("http://trademark.i-assist.jp/data/china/image_1883th/76230607.pdf","76230607")</f>
        <v>76230607</v>
      </c>
      <c r="F745" s="7" t="s">
        <v>2019</v>
      </c>
      <c r="G745" s="7" t="s">
        <v>2020</v>
      </c>
      <c r="H745" s="7" t="s">
        <v>2021</v>
      </c>
      <c r="I745" s="9">
        <v>45296</v>
      </c>
    </row>
    <row r="746" spans="1:9" x14ac:dyDescent="0.15">
      <c r="A746" s="6">
        <v>745</v>
      </c>
      <c r="B746" s="7" t="s">
        <v>9</v>
      </c>
      <c r="C746" s="8">
        <v>1883</v>
      </c>
      <c r="D746" s="9">
        <v>45395</v>
      </c>
      <c r="E746" s="13" t="str">
        <f>+HYPERLINK("http://trademark.i-assist.jp/data/china/image_1883th/76230853.pdf","76230853")</f>
        <v>76230853</v>
      </c>
      <c r="F746" s="7" t="s">
        <v>2022</v>
      </c>
      <c r="G746" s="7" t="s">
        <v>2023</v>
      </c>
      <c r="H746" s="7" t="s">
        <v>2024</v>
      </c>
      <c r="I746" s="9">
        <v>45297</v>
      </c>
    </row>
    <row r="747" spans="1:9" x14ac:dyDescent="0.15">
      <c r="A747" s="6">
        <v>746</v>
      </c>
      <c r="B747" s="7" t="s">
        <v>9</v>
      </c>
      <c r="C747" s="8">
        <v>1883</v>
      </c>
      <c r="D747" s="9">
        <v>45395</v>
      </c>
      <c r="E747" s="13" t="str">
        <f>+HYPERLINK("http://trademark.i-assist.jp/data/china/image_1883th/76231669.pdf","76231669")</f>
        <v>76231669</v>
      </c>
      <c r="F747" s="7" t="s">
        <v>2025</v>
      </c>
      <c r="G747" s="7" t="s">
        <v>1855</v>
      </c>
      <c r="H747" s="7" t="s">
        <v>2026</v>
      </c>
      <c r="I747" s="9">
        <v>45297</v>
      </c>
    </row>
    <row r="748" spans="1:9" ht="27" x14ac:dyDescent="0.15">
      <c r="A748" s="6">
        <v>747</v>
      </c>
      <c r="B748" s="7" t="s">
        <v>9</v>
      </c>
      <c r="C748" s="8">
        <v>1883</v>
      </c>
      <c r="D748" s="9">
        <v>45395</v>
      </c>
      <c r="E748" s="13" t="str">
        <f>+HYPERLINK("http://trademark.i-assist.jp/data/china/image_1883th/76231979.pdf","76231979")</f>
        <v>76231979</v>
      </c>
      <c r="F748" s="7" t="s">
        <v>2027</v>
      </c>
      <c r="G748" s="7" t="s">
        <v>2028</v>
      </c>
      <c r="H748" s="7" t="s">
        <v>2029</v>
      </c>
      <c r="I748" s="9">
        <v>45297</v>
      </c>
    </row>
    <row r="749" spans="1:9" x14ac:dyDescent="0.15">
      <c r="A749" s="6">
        <v>748</v>
      </c>
      <c r="B749" s="7" t="s">
        <v>9</v>
      </c>
      <c r="C749" s="8">
        <v>1883</v>
      </c>
      <c r="D749" s="9">
        <v>45395</v>
      </c>
      <c r="E749" s="13" t="str">
        <f>+HYPERLINK("http://trademark.i-assist.jp/data/china/image_1883th/76233077.pdf","76233077")</f>
        <v>76233077</v>
      </c>
      <c r="F749" s="7" t="s">
        <v>2030</v>
      </c>
      <c r="G749" s="7" t="s">
        <v>2031</v>
      </c>
      <c r="H749" s="7" t="s">
        <v>2032</v>
      </c>
      <c r="I749" s="9">
        <v>45297</v>
      </c>
    </row>
    <row r="750" spans="1:9" x14ac:dyDescent="0.15">
      <c r="A750" s="6">
        <v>749</v>
      </c>
      <c r="B750" s="7" t="s">
        <v>9</v>
      </c>
      <c r="C750" s="8">
        <v>1883</v>
      </c>
      <c r="D750" s="9">
        <v>45395</v>
      </c>
      <c r="E750" s="13" t="str">
        <f>+HYPERLINK("http://trademark.i-assist.jp/data/china/image_1883th/76233928.pdf","76233928")</f>
        <v>76233928</v>
      </c>
      <c r="F750" s="7" t="s">
        <v>2033</v>
      </c>
      <c r="G750" s="7" t="s">
        <v>2034</v>
      </c>
      <c r="H750" s="7" t="s">
        <v>2035</v>
      </c>
      <c r="I750" s="9">
        <v>45297</v>
      </c>
    </row>
    <row r="751" spans="1:9" x14ac:dyDescent="0.15">
      <c r="A751" s="6">
        <v>750</v>
      </c>
      <c r="B751" s="7" t="s">
        <v>9</v>
      </c>
      <c r="C751" s="8">
        <v>1883</v>
      </c>
      <c r="D751" s="9">
        <v>45395</v>
      </c>
      <c r="E751" s="13" t="str">
        <f>+HYPERLINK("http://trademark.i-assist.jp/data/china/image_1883th/76234603.pdf","76234603")</f>
        <v>76234603</v>
      </c>
      <c r="F751" s="7" t="s">
        <v>2036</v>
      </c>
      <c r="G751" s="7" t="s">
        <v>805</v>
      </c>
      <c r="H751" s="7" t="s">
        <v>2037</v>
      </c>
      <c r="I751" s="9">
        <v>45297</v>
      </c>
    </row>
    <row r="752" spans="1:9" ht="27" x14ac:dyDescent="0.15">
      <c r="A752" s="6">
        <v>751</v>
      </c>
      <c r="B752" s="7" t="s">
        <v>9</v>
      </c>
      <c r="C752" s="8">
        <v>1883</v>
      </c>
      <c r="D752" s="9">
        <v>45395</v>
      </c>
      <c r="E752" s="13" t="str">
        <f>+HYPERLINK("http://trademark.i-assist.jp/data/china/image_1883th/76234818.pdf","76234818")</f>
        <v>76234818</v>
      </c>
      <c r="F752" s="7" t="s">
        <v>57</v>
      </c>
      <c r="G752" s="7" t="s">
        <v>2038</v>
      </c>
      <c r="H752" s="7" t="s">
        <v>2039</v>
      </c>
      <c r="I752" s="9">
        <v>45297</v>
      </c>
    </row>
    <row r="753" spans="1:9" ht="27" x14ac:dyDescent="0.15">
      <c r="A753" s="6">
        <v>752</v>
      </c>
      <c r="B753" s="7" t="s">
        <v>9</v>
      </c>
      <c r="C753" s="8">
        <v>1883</v>
      </c>
      <c r="D753" s="9">
        <v>45395</v>
      </c>
      <c r="E753" s="13" t="str">
        <f>+HYPERLINK("http://trademark.i-assist.jp/data/china/image_1883th/76235406.pdf","76235406")</f>
        <v>76235406</v>
      </c>
      <c r="F753" s="7" t="s">
        <v>2040</v>
      </c>
      <c r="G753" s="7" t="s">
        <v>2041</v>
      </c>
      <c r="H753" s="7" t="s">
        <v>2042</v>
      </c>
      <c r="I753" s="9">
        <v>45297</v>
      </c>
    </row>
    <row r="754" spans="1:9" x14ac:dyDescent="0.15">
      <c r="A754" s="6">
        <v>753</v>
      </c>
      <c r="B754" s="7" t="s">
        <v>9</v>
      </c>
      <c r="C754" s="8">
        <v>1883</v>
      </c>
      <c r="D754" s="9">
        <v>45395</v>
      </c>
      <c r="E754" s="13" t="str">
        <f>+HYPERLINK("http://trademark.i-assist.jp/data/china/image_1883th/76235528.pdf","76235528")</f>
        <v>76235528</v>
      </c>
      <c r="F754" s="7" t="s">
        <v>2043</v>
      </c>
      <c r="G754" s="7" t="s">
        <v>2044</v>
      </c>
      <c r="H754" s="7" t="s">
        <v>2045</v>
      </c>
      <c r="I754" s="9">
        <v>45297</v>
      </c>
    </row>
    <row r="755" spans="1:9" x14ac:dyDescent="0.15">
      <c r="A755" s="6">
        <v>754</v>
      </c>
      <c r="B755" s="7" t="s">
        <v>9</v>
      </c>
      <c r="C755" s="8">
        <v>1883</v>
      </c>
      <c r="D755" s="9">
        <v>45395</v>
      </c>
      <c r="E755" s="13" t="str">
        <f>+HYPERLINK("http://trademark.i-assist.jp/data/china/image_1883th/76236038.pdf","76236038")</f>
        <v>76236038</v>
      </c>
      <c r="F755" s="7" t="s">
        <v>2046</v>
      </c>
      <c r="G755" s="7" t="s">
        <v>2047</v>
      </c>
      <c r="H755" s="7" t="s">
        <v>2048</v>
      </c>
      <c r="I755" s="9">
        <v>45297</v>
      </c>
    </row>
    <row r="756" spans="1:9" x14ac:dyDescent="0.15">
      <c r="A756" s="6">
        <v>755</v>
      </c>
      <c r="B756" s="7" t="s">
        <v>9</v>
      </c>
      <c r="C756" s="8">
        <v>1883</v>
      </c>
      <c r="D756" s="9">
        <v>45395</v>
      </c>
      <c r="E756" s="13" t="str">
        <f>+HYPERLINK("http://trademark.i-assist.jp/data/china/image_1883th/76236053.pdf","76236053")</f>
        <v>76236053</v>
      </c>
      <c r="F756" s="7" t="s">
        <v>2049</v>
      </c>
      <c r="G756" s="7" t="s">
        <v>2047</v>
      </c>
      <c r="H756" s="7" t="s">
        <v>2050</v>
      </c>
      <c r="I756" s="9">
        <v>45297</v>
      </c>
    </row>
    <row r="757" spans="1:9" x14ac:dyDescent="0.15">
      <c r="A757" s="6">
        <v>756</v>
      </c>
      <c r="B757" s="7" t="s">
        <v>9</v>
      </c>
      <c r="C757" s="8">
        <v>1883</v>
      </c>
      <c r="D757" s="9">
        <v>45395</v>
      </c>
      <c r="E757" s="13" t="str">
        <f>+HYPERLINK("http://trademark.i-assist.jp/data/china/image_1883th/76236259.pdf","76236259")</f>
        <v>76236259</v>
      </c>
      <c r="F757" s="7" t="s">
        <v>2051</v>
      </c>
      <c r="G757" s="7" t="s">
        <v>2044</v>
      </c>
      <c r="H757" s="7" t="s">
        <v>2052</v>
      </c>
      <c r="I757" s="9">
        <v>45297</v>
      </c>
    </row>
    <row r="758" spans="1:9" x14ac:dyDescent="0.15">
      <c r="A758" s="6">
        <v>757</v>
      </c>
      <c r="B758" s="7" t="s">
        <v>9</v>
      </c>
      <c r="C758" s="8">
        <v>1883</v>
      </c>
      <c r="D758" s="9">
        <v>45395</v>
      </c>
      <c r="E758" s="13" t="str">
        <f>+HYPERLINK("http://trademark.i-assist.jp/data/china/image_1883th/76236583.pdf","76236583")</f>
        <v>76236583</v>
      </c>
      <c r="F758" s="7" t="s">
        <v>57</v>
      </c>
      <c r="G758" s="7" t="s">
        <v>2053</v>
      </c>
      <c r="H758" s="7" t="s">
        <v>2054</v>
      </c>
      <c r="I758" s="9">
        <v>45297</v>
      </c>
    </row>
    <row r="759" spans="1:9" x14ac:dyDescent="0.15">
      <c r="A759" s="6">
        <v>758</v>
      </c>
      <c r="B759" s="7" t="s">
        <v>9</v>
      </c>
      <c r="C759" s="8">
        <v>1883</v>
      </c>
      <c r="D759" s="9">
        <v>45395</v>
      </c>
      <c r="E759" s="13" t="str">
        <f>+HYPERLINK("http://trademark.i-assist.jp/data/china/image_1883th/76236830.pdf","76236830")</f>
        <v>76236830</v>
      </c>
      <c r="F759" s="7" t="s">
        <v>2055</v>
      </c>
      <c r="G759" s="7" t="s">
        <v>2056</v>
      </c>
      <c r="H759" s="7" t="s">
        <v>2057</v>
      </c>
      <c r="I759" s="9">
        <v>45297</v>
      </c>
    </row>
    <row r="760" spans="1:9" x14ac:dyDescent="0.15">
      <c r="A760" s="6">
        <v>759</v>
      </c>
      <c r="B760" s="7" t="s">
        <v>9</v>
      </c>
      <c r="C760" s="8">
        <v>1883</v>
      </c>
      <c r="D760" s="9">
        <v>45395</v>
      </c>
      <c r="E760" s="13" t="str">
        <f>+HYPERLINK("http://trademark.i-assist.jp/data/china/image_1883th/76236889.pdf","76236889")</f>
        <v>76236889</v>
      </c>
      <c r="F760" s="7" t="s">
        <v>2058</v>
      </c>
      <c r="G760" s="7" t="s">
        <v>2059</v>
      </c>
      <c r="H760" s="7" t="s">
        <v>2060</v>
      </c>
      <c r="I760" s="9">
        <v>45297</v>
      </c>
    </row>
    <row r="761" spans="1:9" ht="27" x14ac:dyDescent="0.15">
      <c r="A761" s="6">
        <v>760</v>
      </c>
      <c r="B761" s="7" t="s">
        <v>9</v>
      </c>
      <c r="C761" s="8">
        <v>1883</v>
      </c>
      <c r="D761" s="9">
        <v>45395</v>
      </c>
      <c r="E761" s="13" t="str">
        <f>+HYPERLINK("http://trademark.i-assist.jp/data/china/image_1883th/76237262.pdf","76237262")</f>
        <v>76237262</v>
      </c>
      <c r="F761" s="7" t="s">
        <v>2061</v>
      </c>
      <c r="G761" s="7" t="s">
        <v>2062</v>
      </c>
      <c r="H761" s="7" t="s">
        <v>2063</v>
      </c>
      <c r="I761" s="9">
        <v>45298</v>
      </c>
    </row>
    <row r="762" spans="1:9" x14ac:dyDescent="0.15">
      <c r="A762" s="6">
        <v>761</v>
      </c>
      <c r="B762" s="7" t="s">
        <v>9</v>
      </c>
      <c r="C762" s="8">
        <v>1883</v>
      </c>
      <c r="D762" s="9">
        <v>45395</v>
      </c>
      <c r="E762" s="13" t="str">
        <f>+HYPERLINK("http://trademark.i-assist.jp/data/china/image_1883th/76237466.pdf","76237466")</f>
        <v>76237466</v>
      </c>
      <c r="F762" s="7" t="s">
        <v>2064</v>
      </c>
      <c r="G762" s="7" t="s">
        <v>2065</v>
      </c>
      <c r="H762" s="7" t="s">
        <v>2066</v>
      </c>
      <c r="I762" s="9">
        <v>45298</v>
      </c>
    </row>
    <row r="763" spans="1:9" x14ac:dyDescent="0.15">
      <c r="A763" s="6">
        <v>762</v>
      </c>
      <c r="B763" s="7" t="s">
        <v>9</v>
      </c>
      <c r="C763" s="8">
        <v>1883</v>
      </c>
      <c r="D763" s="9">
        <v>45395</v>
      </c>
      <c r="E763" s="13" t="str">
        <f>+HYPERLINK("http://trademark.i-assist.jp/data/china/image_1883th/76237831.pdf","76237831")</f>
        <v>76237831</v>
      </c>
      <c r="F763" s="7" t="s">
        <v>2067</v>
      </c>
      <c r="G763" s="7" t="s">
        <v>2068</v>
      </c>
      <c r="H763" s="7" t="s">
        <v>2069</v>
      </c>
      <c r="I763" s="9">
        <v>45298</v>
      </c>
    </row>
    <row r="764" spans="1:9" x14ac:dyDescent="0.15">
      <c r="A764" s="6">
        <v>763</v>
      </c>
      <c r="B764" s="7" t="s">
        <v>9</v>
      </c>
      <c r="C764" s="8">
        <v>1883</v>
      </c>
      <c r="D764" s="9">
        <v>45395</v>
      </c>
      <c r="E764" s="13" t="str">
        <f>+HYPERLINK("http://trademark.i-assist.jp/data/china/image_1883th/76238184.pdf","76238184")</f>
        <v>76238184</v>
      </c>
      <c r="F764" s="7" t="s">
        <v>2070</v>
      </c>
      <c r="G764" s="7" t="s">
        <v>2071</v>
      </c>
      <c r="H764" s="7" t="s">
        <v>2072</v>
      </c>
      <c r="I764" s="9">
        <v>45298</v>
      </c>
    </row>
    <row r="765" spans="1:9" x14ac:dyDescent="0.15">
      <c r="A765" s="6">
        <v>764</v>
      </c>
      <c r="B765" s="7" t="s">
        <v>9</v>
      </c>
      <c r="C765" s="8">
        <v>1883</v>
      </c>
      <c r="D765" s="9">
        <v>45395</v>
      </c>
      <c r="E765" s="13" t="str">
        <f>+HYPERLINK("http://trademark.i-assist.jp/data/china/image_1883th/76238350.pdf","76238350")</f>
        <v>76238350</v>
      </c>
      <c r="F765" s="7" t="s">
        <v>2073</v>
      </c>
      <c r="G765" s="7" t="s">
        <v>2074</v>
      </c>
      <c r="H765" s="7" t="s">
        <v>2075</v>
      </c>
      <c r="I765" s="9">
        <v>45298</v>
      </c>
    </row>
    <row r="766" spans="1:9" x14ac:dyDescent="0.15">
      <c r="A766" s="6">
        <v>765</v>
      </c>
      <c r="B766" s="7" t="s">
        <v>9</v>
      </c>
      <c r="C766" s="8">
        <v>1883</v>
      </c>
      <c r="D766" s="9">
        <v>45395</v>
      </c>
      <c r="E766" s="13" t="str">
        <f>+HYPERLINK("http://trademark.i-assist.jp/data/china/image_1883th/76238722.pdf","76238722")</f>
        <v>76238722</v>
      </c>
      <c r="F766" s="7" t="s">
        <v>2076</v>
      </c>
      <c r="G766" s="7" t="s">
        <v>898</v>
      </c>
      <c r="H766" s="7" t="s">
        <v>2077</v>
      </c>
      <c r="I766" s="9">
        <v>45298</v>
      </c>
    </row>
    <row r="767" spans="1:9" x14ac:dyDescent="0.15">
      <c r="A767" s="6">
        <v>766</v>
      </c>
      <c r="B767" s="7" t="s">
        <v>9</v>
      </c>
      <c r="C767" s="8">
        <v>1883</v>
      </c>
      <c r="D767" s="9">
        <v>45395</v>
      </c>
      <c r="E767" s="13" t="str">
        <f>+HYPERLINK("http://trademark.i-assist.jp/data/china/image_1883th/76238746.pdf","76238746")</f>
        <v>76238746</v>
      </c>
      <c r="F767" s="7" t="s">
        <v>2078</v>
      </c>
      <c r="G767" s="7" t="s">
        <v>2079</v>
      </c>
      <c r="H767" s="7" t="s">
        <v>2080</v>
      </c>
      <c r="I767" s="9">
        <v>45298</v>
      </c>
    </row>
    <row r="768" spans="1:9" x14ac:dyDescent="0.15">
      <c r="A768" s="6">
        <v>767</v>
      </c>
      <c r="B768" s="7" t="s">
        <v>9</v>
      </c>
      <c r="C768" s="8">
        <v>1883</v>
      </c>
      <c r="D768" s="9">
        <v>45395</v>
      </c>
      <c r="E768" s="13" t="str">
        <f>+HYPERLINK("http://trademark.i-assist.jp/data/china/image_1883th/76238883.pdf","76238883")</f>
        <v>76238883</v>
      </c>
      <c r="F768" s="7" t="s">
        <v>2081</v>
      </c>
      <c r="G768" s="7" t="s">
        <v>2082</v>
      </c>
      <c r="H768" s="7" t="s">
        <v>2083</v>
      </c>
      <c r="I768" s="9">
        <v>45298</v>
      </c>
    </row>
    <row r="769" spans="1:9" x14ac:dyDescent="0.15">
      <c r="A769" s="6">
        <v>768</v>
      </c>
      <c r="B769" s="7" t="s">
        <v>9</v>
      </c>
      <c r="C769" s="8">
        <v>1883</v>
      </c>
      <c r="D769" s="9">
        <v>45395</v>
      </c>
      <c r="E769" s="13" t="str">
        <f>+HYPERLINK("http://trademark.i-assist.jp/data/china/image_1883th/76238903.pdf","76238903")</f>
        <v>76238903</v>
      </c>
      <c r="F769" s="7" t="s">
        <v>2084</v>
      </c>
      <c r="G769" s="7" t="s">
        <v>2065</v>
      </c>
      <c r="H769" s="7" t="s">
        <v>2085</v>
      </c>
      <c r="I769" s="9">
        <v>45298</v>
      </c>
    </row>
    <row r="770" spans="1:9" x14ac:dyDescent="0.15">
      <c r="A770" s="6">
        <v>769</v>
      </c>
      <c r="B770" s="7" t="s">
        <v>9</v>
      </c>
      <c r="C770" s="8">
        <v>1883</v>
      </c>
      <c r="D770" s="9">
        <v>45395</v>
      </c>
      <c r="E770" s="13" t="str">
        <f>+HYPERLINK("http://trademark.i-assist.jp/data/china/image_1883th/76238914.pdf","76238914")</f>
        <v>76238914</v>
      </c>
      <c r="F770" s="7" t="s">
        <v>2086</v>
      </c>
      <c r="G770" s="7" t="s">
        <v>598</v>
      </c>
      <c r="H770" s="7" t="s">
        <v>2087</v>
      </c>
      <c r="I770" s="9">
        <v>45298</v>
      </c>
    </row>
    <row r="771" spans="1:9" x14ac:dyDescent="0.15">
      <c r="A771" s="6">
        <v>770</v>
      </c>
      <c r="B771" s="7" t="s">
        <v>9</v>
      </c>
      <c r="C771" s="8">
        <v>1883</v>
      </c>
      <c r="D771" s="9">
        <v>45395</v>
      </c>
      <c r="E771" s="13" t="str">
        <f>+HYPERLINK("http://trademark.i-assist.jp/data/china/image_1883th/76238942.pdf","76238942")</f>
        <v>76238942</v>
      </c>
      <c r="F771" s="7" t="s">
        <v>2088</v>
      </c>
      <c r="G771" s="7" t="s">
        <v>2089</v>
      </c>
      <c r="H771" s="7" t="s">
        <v>2090</v>
      </c>
      <c r="I771" s="9">
        <v>45298</v>
      </c>
    </row>
    <row r="772" spans="1:9" ht="27" x14ac:dyDescent="0.15">
      <c r="A772" s="6">
        <v>771</v>
      </c>
      <c r="B772" s="7" t="s">
        <v>9</v>
      </c>
      <c r="C772" s="8">
        <v>1883</v>
      </c>
      <c r="D772" s="9">
        <v>45395</v>
      </c>
      <c r="E772" s="13" t="str">
        <f>+HYPERLINK("http://trademark.i-assist.jp/data/china/image_1883th/76239009.pdf","76239009")</f>
        <v>76239009</v>
      </c>
      <c r="F772" s="7" t="s">
        <v>2091</v>
      </c>
      <c r="G772" s="7" t="s">
        <v>2092</v>
      </c>
      <c r="H772" s="7" t="s">
        <v>2093</v>
      </c>
      <c r="I772" s="9">
        <v>45298</v>
      </c>
    </row>
    <row r="773" spans="1:9" x14ac:dyDescent="0.15">
      <c r="A773" s="6">
        <v>772</v>
      </c>
      <c r="B773" s="7" t="s">
        <v>9</v>
      </c>
      <c r="C773" s="8">
        <v>1883</v>
      </c>
      <c r="D773" s="9">
        <v>45395</v>
      </c>
      <c r="E773" s="13" t="str">
        <f>+HYPERLINK("http://trademark.i-assist.jp/data/china/image_1883th/76239492.pdf","76239492")</f>
        <v>76239492</v>
      </c>
      <c r="F773" s="7" t="s">
        <v>2094</v>
      </c>
      <c r="G773" s="7" t="s">
        <v>2071</v>
      </c>
      <c r="H773" s="7" t="s">
        <v>2095</v>
      </c>
      <c r="I773" s="9">
        <v>45298</v>
      </c>
    </row>
    <row r="774" spans="1:9" x14ac:dyDescent="0.15">
      <c r="A774" s="6">
        <v>773</v>
      </c>
      <c r="B774" s="7" t="s">
        <v>9</v>
      </c>
      <c r="C774" s="8">
        <v>1883</v>
      </c>
      <c r="D774" s="9">
        <v>45395</v>
      </c>
      <c r="E774" s="13" t="str">
        <f>+HYPERLINK("http://trademark.i-assist.jp/data/china/image_1883th/76239641.pdf","76239641")</f>
        <v>76239641</v>
      </c>
      <c r="F774" s="7" t="s">
        <v>2096</v>
      </c>
      <c r="G774" s="7" t="s">
        <v>2097</v>
      </c>
      <c r="H774" s="7" t="s">
        <v>2098</v>
      </c>
      <c r="I774" s="9">
        <v>45298</v>
      </c>
    </row>
    <row r="775" spans="1:9" x14ac:dyDescent="0.15">
      <c r="A775" s="6">
        <v>774</v>
      </c>
      <c r="B775" s="7" t="s">
        <v>9</v>
      </c>
      <c r="C775" s="8">
        <v>1883</v>
      </c>
      <c r="D775" s="9">
        <v>45395</v>
      </c>
      <c r="E775" s="13" t="str">
        <f>+HYPERLINK("http://trademark.i-assist.jp/data/china/image_1883th/76239661.pdf","76239661")</f>
        <v>76239661</v>
      </c>
      <c r="F775" s="7" t="s">
        <v>2067</v>
      </c>
      <c r="G775" s="7" t="s">
        <v>2068</v>
      </c>
      <c r="H775" s="7" t="s">
        <v>2099</v>
      </c>
      <c r="I775" s="9">
        <v>45298</v>
      </c>
    </row>
    <row r="776" spans="1:9" x14ac:dyDescent="0.15">
      <c r="A776" s="6">
        <v>775</v>
      </c>
      <c r="B776" s="7" t="s">
        <v>9</v>
      </c>
      <c r="C776" s="8">
        <v>1883</v>
      </c>
      <c r="D776" s="9">
        <v>45395</v>
      </c>
      <c r="E776" s="13" t="str">
        <f>+HYPERLINK("http://trademark.i-assist.jp/data/china/image_1883th/76239662.pdf","76239662")</f>
        <v>76239662</v>
      </c>
      <c r="F776" s="7" t="s">
        <v>2100</v>
      </c>
      <c r="G776" s="7" t="s">
        <v>2101</v>
      </c>
      <c r="H776" s="7" t="s">
        <v>2102</v>
      </c>
      <c r="I776" s="9">
        <v>45298</v>
      </c>
    </row>
    <row r="777" spans="1:9" x14ac:dyDescent="0.15">
      <c r="A777" s="6">
        <v>776</v>
      </c>
      <c r="B777" s="7" t="s">
        <v>9</v>
      </c>
      <c r="C777" s="8">
        <v>1883</v>
      </c>
      <c r="D777" s="9">
        <v>45395</v>
      </c>
      <c r="E777" s="13" t="str">
        <f>+HYPERLINK("http://trademark.i-assist.jp/data/china/image_1883th/76239794.pdf","76239794")</f>
        <v>76239794</v>
      </c>
      <c r="F777" s="7" t="s">
        <v>2103</v>
      </c>
      <c r="G777" s="7" t="s">
        <v>2104</v>
      </c>
      <c r="H777" s="7" t="s">
        <v>2105</v>
      </c>
      <c r="I777" s="9">
        <v>45298</v>
      </c>
    </row>
    <row r="778" spans="1:9" ht="40.5" x14ac:dyDescent="0.15">
      <c r="A778" s="6">
        <v>777</v>
      </c>
      <c r="B778" s="7" t="s">
        <v>9</v>
      </c>
      <c r="C778" s="8">
        <v>1883</v>
      </c>
      <c r="D778" s="9">
        <v>45395</v>
      </c>
      <c r="E778" s="13" t="str">
        <f>+HYPERLINK("http://trademark.i-assist.jp/data/china/image_1883th/76239815.pdf","76239815")</f>
        <v>76239815</v>
      </c>
      <c r="F778" s="7" t="s">
        <v>2106</v>
      </c>
      <c r="G778" s="7" t="s">
        <v>2107</v>
      </c>
      <c r="H778" s="7" t="s">
        <v>2108</v>
      </c>
      <c r="I778" s="9">
        <v>45298</v>
      </c>
    </row>
    <row r="779" spans="1:9" x14ac:dyDescent="0.15">
      <c r="A779" s="6">
        <v>778</v>
      </c>
      <c r="B779" s="7" t="s">
        <v>9</v>
      </c>
      <c r="C779" s="8">
        <v>1883</v>
      </c>
      <c r="D779" s="9">
        <v>45395</v>
      </c>
      <c r="E779" s="13" t="str">
        <f>+HYPERLINK("http://trademark.i-assist.jp/data/china/image_1883th/76239978.pdf","76239978")</f>
        <v>76239978</v>
      </c>
      <c r="F779" s="7" t="s">
        <v>2109</v>
      </c>
      <c r="G779" s="7" t="s">
        <v>598</v>
      </c>
      <c r="H779" s="7" t="s">
        <v>2110</v>
      </c>
      <c r="I779" s="9">
        <v>45298</v>
      </c>
    </row>
    <row r="780" spans="1:9" x14ac:dyDescent="0.15">
      <c r="A780" s="6">
        <v>779</v>
      </c>
      <c r="B780" s="7" t="s">
        <v>9</v>
      </c>
      <c r="C780" s="8">
        <v>1883</v>
      </c>
      <c r="D780" s="9">
        <v>45395</v>
      </c>
      <c r="E780" s="13" t="str">
        <f>+HYPERLINK("http://trademark.i-assist.jp/data/china/image_1883th/76240039.pdf","76240039")</f>
        <v>76240039</v>
      </c>
      <c r="F780" s="7" t="s">
        <v>2111</v>
      </c>
      <c r="G780" s="7" t="s">
        <v>2112</v>
      </c>
      <c r="H780" s="7" t="s">
        <v>2113</v>
      </c>
      <c r="I780" s="9">
        <v>45298</v>
      </c>
    </row>
    <row r="781" spans="1:9" x14ac:dyDescent="0.15">
      <c r="A781" s="6">
        <v>780</v>
      </c>
      <c r="B781" s="7" t="s">
        <v>9</v>
      </c>
      <c r="C781" s="8">
        <v>1883</v>
      </c>
      <c r="D781" s="9">
        <v>45395</v>
      </c>
      <c r="E781" s="13" t="str">
        <f>+HYPERLINK("http://trademark.i-assist.jp/data/china/image_1883th/76240178.pdf","76240178")</f>
        <v>76240178</v>
      </c>
      <c r="F781" s="7" t="s">
        <v>2114</v>
      </c>
      <c r="G781" s="7" t="s">
        <v>2115</v>
      </c>
      <c r="H781" s="7" t="s">
        <v>2116</v>
      </c>
      <c r="I781" s="9">
        <v>45298</v>
      </c>
    </row>
    <row r="782" spans="1:9" x14ac:dyDescent="0.15">
      <c r="A782" s="6">
        <v>781</v>
      </c>
      <c r="B782" s="7" t="s">
        <v>9</v>
      </c>
      <c r="C782" s="8">
        <v>1883</v>
      </c>
      <c r="D782" s="9">
        <v>45395</v>
      </c>
      <c r="E782" s="13" t="str">
        <f>+HYPERLINK("http://trademark.i-assist.jp/data/china/image_1883th/76240952.pdf","76240952")</f>
        <v>76240952</v>
      </c>
      <c r="F782" s="7" t="s">
        <v>2117</v>
      </c>
      <c r="G782" s="7" t="s">
        <v>2118</v>
      </c>
      <c r="H782" s="7" t="s">
        <v>2119</v>
      </c>
      <c r="I782" s="9">
        <v>45299</v>
      </c>
    </row>
    <row r="783" spans="1:9" x14ac:dyDescent="0.15">
      <c r="A783" s="6">
        <v>782</v>
      </c>
      <c r="B783" s="7" t="s">
        <v>9</v>
      </c>
      <c r="C783" s="8">
        <v>1883</v>
      </c>
      <c r="D783" s="9">
        <v>45395</v>
      </c>
      <c r="E783" s="13" t="str">
        <f>+HYPERLINK("http://trademark.i-assist.jp/data/china/image_1883th/76241265.pdf","76241265")</f>
        <v>76241265</v>
      </c>
      <c r="F783" s="7" t="s">
        <v>2120</v>
      </c>
      <c r="G783" s="7" t="s">
        <v>1592</v>
      </c>
      <c r="H783" s="7" t="s">
        <v>2121</v>
      </c>
      <c r="I783" s="9">
        <v>45299</v>
      </c>
    </row>
    <row r="784" spans="1:9" ht="27" x14ac:dyDescent="0.15">
      <c r="A784" s="6">
        <v>783</v>
      </c>
      <c r="B784" s="7" t="s">
        <v>9</v>
      </c>
      <c r="C784" s="8">
        <v>1883</v>
      </c>
      <c r="D784" s="9">
        <v>45395</v>
      </c>
      <c r="E784" s="13" t="str">
        <f>+HYPERLINK("http://trademark.i-assist.jp/data/china/image_1883th/76241326.pdf","76241326")</f>
        <v>76241326</v>
      </c>
      <c r="F784" s="7" t="s">
        <v>2122</v>
      </c>
      <c r="G784" s="7" t="s">
        <v>959</v>
      </c>
      <c r="H784" s="7" t="s">
        <v>2123</v>
      </c>
      <c r="I784" s="9">
        <v>45299</v>
      </c>
    </row>
    <row r="785" spans="1:9" ht="27" x14ac:dyDescent="0.15">
      <c r="A785" s="6">
        <v>784</v>
      </c>
      <c r="B785" s="7" t="s">
        <v>9</v>
      </c>
      <c r="C785" s="8">
        <v>1883</v>
      </c>
      <c r="D785" s="9">
        <v>45395</v>
      </c>
      <c r="E785" s="13" t="str">
        <f>+HYPERLINK("http://trademark.i-assist.jp/data/china/image_1883th/76241334.pdf","76241334")</f>
        <v>76241334</v>
      </c>
      <c r="F785" s="7" t="s">
        <v>2124</v>
      </c>
      <c r="G785" s="7" t="s">
        <v>2125</v>
      </c>
      <c r="H785" s="7" t="s">
        <v>2126</v>
      </c>
      <c r="I785" s="9">
        <v>45299</v>
      </c>
    </row>
    <row r="786" spans="1:9" x14ac:dyDescent="0.15">
      <c r="A786" s="6">
        <v>785</v>
      </c>
      <c r="B786" s="7" t="s">
        <v>9</v>
      </c>
      <c r="C786" s="8">
        <v>1883</v>
      </c>
      <c r="D786" s="9">
        <v>45395</v>
      </c>
      <c r="E786" s="13" t="str">
        <f>+HYPERLINK("http://trademark.i-assist.jp/data/china/image_1883th/76241337.pdf","76241337")</f>
        <v>76241337</v>
      </c>
      <c r="F786" s="7" t="s">
        <v>2127</v>
      </c>
      <c r="G786" s="7" t="s">
        <v>2128</v>
      </c>
      <c r="H786" s="7" t="s">
        <v>2129</v>
      </c>
      <c r="I786" s="9">
        <v>45299</v>
      </c>
    </row>
    <row r="787" spans="1:9" x14ac:dyDescent="0.15">
      <c r="A787" s="6">
        <v>786</v>
      </c>
      <c r="B787" s="7" t="s">
        <v>9</v>
      </c>
      <c r="C787" s="8">
        <v>1883</v>
      </c>
      <c r="D787" s="9">
        <v>45395</v>
      </c>
      <c r="E787" s="13" t="str">
        <f>+HYPERLINK("http://trademark.i-assist.jp/data/china/image_1883th/76241671.pdf","76241671")</f>
        <v>76241671</v>
      </c>
      <c r="F787" s="7" t="s">
        <v>2130</v>
      </c>
      <c r="G787" s="7" t="s">
        <v>2131</v>
      </c>
      <c r="H787" s="7" t="s">
        <v>2132</v>
      </c>
      <c r="I787" s="9">
        <v>45299</v>
      </c>
    </row>
    <row r="788" spans="1:9" x14ac:dyDescent="0.15">
      <c r="A788" s="6">
        <v>787</v>
      </c>
      <c r="B788" s="7" t="s">
        <v>9</v>
      </c>
      <c r="C788" s="8">
        <v>1883</v>
      </c>
      <c r="D788" s="9">
        <v>45395</v>
      </c>
      <c r="E788" s="13" t="str">
        <f>+HYPERLINK("http://trademark.i-assist.jp/data/china/image_1883th/76242271.pdf","76242271")</f>
        <v>76242271</v>
      </c>
      <c r="F788" s="7" t="s">
        <v>2133</v>
      </c>
      <c r="G788" s="7" t="s">
        <v>2134</v>
      </c>
      <c r="H788" s="7" t="s">
        <v>2135</v>
      </c>
      <c r="I788" s="9">
        <v>45299</v>
      </c>
    </row>
    <row r="789" spans="1:9" x14ac:dyDescent="0.15">
      <c r="A789" s="6">
        <v>788</v>
      </c>
      <c r="B789" s="7" t="s">
        <v>9</v>
      </c>
      <c r="C789" s="8">
        <v>1883</v>
      </c>
      <c r="D789" s="9">
        <v>45395</v>
      </c>
      <c r="E789" s="13" t="str">
        <f>+HYPERLINK("http://trademark.i-assist.jp/data/china/image_1883th/76242283.pdf","76242283")</f>
        <v>76242283</v>
      </c>
      <c r="F789" s="7" t="s">
        <v>2136</v>
      </c>
      <c r="G789" s="7" t="s">
        <v>2137</v>
      </c>
      <c r="H789" s="7" t="s">
        <v>2138</v>
      </c>
      <c r="I789" s="9">
        <v>45299</v>
      </c>
    </row>
    <row r="790" spans="1:9" x14ac:dyDescent="0.15">
      <c r="A790" s="6">
        <v>789</v>
      </c>
      <c r="B790" s="7" t="s">
        <v>9</v>
      </c>
      <c r="C790" s="8">
        <v>1883</v>
      </c>
      <c r="D790" s="9">
        <v>45395</v>
      </c>
      <c r="E790" s="13" t="str">
        <f>+HYPERLINK("http://trademark.i-assist.jp/data/china/image_1883th/76243078.pdf","76243078")</f>
        <v>76243078</v>
      </c>
      <c r="F790" s="7" t="s">
        <v>2139</v>
      </c>
      <c r="G790" s="7" t="s">
        <v>2140</v>
      </c>
      <c r="H790" s="7" t="s">
        <v>2141</v>
      </c>
      <c r="I790" s="9">
        <v>45299</v>
      </c>
    </row>
    <row r="791" spans="1:9" x14ac:dyDescent="0.15">
      <c r="A791" s="6">
        <v>790</v>
      </c>
      <c r="B791" s="7" t="s">
        <v>9</v>
      </c>
      <c r="C791" s="8">
        <v>1883</v>
      </c>
      <c r="D791" s="9">
        <v>45395</v>
      </c>
      <c r="E791" s="13" t="str">
        <f>+HYPERLINK("http://trademark.i-assist.jp/data/china/image_1883th/76243141.pdf","76243141")</f>
        <v>76243141</v>
      </c>
      <c r="F791" s="7" t="s">
        <v>2142</v>
      </c>
      <c r="G791" s="7" t="s">
        <v>2143</v>
      </c>
      <c r="H791" s="7" t="s">
        <v>2144</v>
      </c>
      <c r="I791" s="9">
        <v>45299</v>
      </c>
    </row>
    <row r="792" spans="1:9" x14ac:dyDescent="0.15">
      <c r="A792" s="6">
        <v>791</v>
      </c>
      <c r="B792" s="7" t="s">
        <v>9</v>
      </c>
      <c r="C792" s="8">
        <v>1883</v>
      </c>
      <c r="D792" s="9">
        <v>45395</v>
      </c>
      <c r="E792" s="13" t="str">
        <f>+HYPERLINK("http://trademark.i-assist.jp/data/china/image_1883th/76243177.pdf","76243177")</f>
        <v>76243177</v>
      </c>
      <c r="F792" s="7" t="s">
        <v>2145</v>
      </c>
      <c r="G792" s="7" t="s">
        <v>2146</v>
      </c>
      <c r="H792" s="7" t="s">
        <v>2147</v>
      </c>
      <c r="I792" s="9">
        <v>45299</v>
      </c>
    </row>
    <row r="793" spans="1:9" ht="27" x14ac:dyDescent="0.15">
      <c r="A793" s="6">
        <v>792</v>
      </c>
      <c r="B793" s="7" t="s">
        <v>9</v>
      </c>
      <c r="C793" s="8">
        <v>1883</v>
      </c>
      <c r="D793" s="9">
        <v>45395</v>
      </c>
      <c r="E793" s="13" t="str">
        <f>+HYPERLINK("http://trademark.i-assist.jp/data/china/image_1883th/76243905.pdf","76243905")</f>
        <v>76243905</v>
      </c>
      <c r="F793" s="7" t="s">
        <v>2148</v>
      </c>
      <c r="G793" s="7" t="s">
        <v>2149</v>
      </c>
      <c r="H793" s="7" t="s">
        <v>2150</v>
      </c>
      <c r="I793" s="9">
        <v>45299</v>
      </c>
    </row>
    <row r="794" spans="1:9" x14ac:dyDescent="0.15">
      <c r="A794" s="6">
        <v>793</v>
      </c>
      <c r="B794" s="7" t="s">
        <v>9</v>
      </c>
      <c r="C794" s="8">
        <v>1883</v>
      </c>
      <c r="D794" s="9">
        <v>45395</v>
      </c>
      <c r="E794" s="13" t="str">
        <f>+HYPERLINK("http://trademark.i-assist.jp/data/china/image_1883th/76243912.pdf","76243912")</f>
        <v>76243912</v>
      </c>
      <c r="F794" s="7" t="s">
        <v>2151</v>
      </c>
      <c r="G794" s="7" t="s">
        <v>2152</v>
      </c>
      <c r="H794" s="7" t="s">
        <v>2153</v>
      </c>
      <c r="I794" s="9">
        <v>45299</v>
      </c>
    </row>
    <row r="795" spans="1:9" ht="27" x14ac:dyDescent="0.15">
      <c r="A795" s="6">
        <v>794</v>
      </c>
      <c r="B795" s="7" t="s">
        <v>9</v>
      </c>
      <c r="C795" s="8">
        <v>1883</v>
      </c>
      <c r="D795" s="9">
        <v>45395</v>
      </c>
      <c r="E795" s="13" t="str">
        <f>+HYPERLINK("http://trademark.i-assist.jp/data/china/image_1883th/76244372.pdf","76244372")</f>
        <v>76244372</v>
      </c>
      <c r="F795" s="7" t="s">
        <v>2154</v>
      </c>
      <c r="G795" s="7" t="s">
        <v>2125</v>
      </c>
      <c r="H795" s="7" t="s">
        <v>2155</v>
      </c>
      <c r="I795" s="9">
        <v>45299</v>
      </c>
    </row>
    <row r="796" spans="1:9" ht="27" x14ac:dyDescent="0.15">
      <c r="A796" s="6">
        <v>795</v>
      </c>
      <c r="B796" s="7" t="s">
        <v>9</v>
      </c>
      <c r="C796" s="8">
        <v>1883</v>
      </c>
      <c r="D796" s="9">
        <v>45395</v>
      </c>
      <c r="E796" s="13" t="str">
        <f>+HYPERLINK("http://trademark.i-assist.jp/data/china/image_1883th/76244378.pdf","76244378")</f>
        <v>76244378</v>
      </c>
      <c r="F796" s="7" t="s">
        <v>2156</v>
      </c>
      <c r="G796" s="7" t="s">
        <v>2125</v>
      </c>
      <c r="H796" s="7" t="s">
        <v>2157</v>
      </c>
      <c r="I796" s="9">
        <v>45299</v>
      </c>
    </row>
    <row r="797" spans="1:9" x14ac:dyDescent="0.15">
      <c r="A797" s="6">
        <v>796</v>
      </c>
      <c r="B797" s="7" t="s">
        <v>9</v>
      </c>
      <c r="C797" s="8">
        <v>1883</v>
      </c>
      <c r="D797" s="9">
        <v>45395</v>
      </c>
      <c r="E797" s="13" t="str">
        <f>+HYPERLINK("http://trademark.i-assist.jp/data/china/image_1883th/76244831.pdf","76244831")</f>
        <v>76244831</v>
      </c>
      <c r="F797" s="7" t="s">
        <v>2158</v>
      </c>
      <c r="G797" s="7" t="s">
        <v>2118</v>
      </c>
      <c r="H797" s="7" t="s">
        <v>2159</v>
      </c>
      <c r="I797" s="9">
        <v>45299</v>
      </c>
    </row>
    <row r="798" spans="1:9" x14ac:dyDescent="0.15">
      <c r="A798" s="6">
        <v>797</v>
      </c>
      <c r="B798" s="7" t="s">
        <v>9</v>
      </c>
      <c r="C798" s="8">
        <v>1883</v>
      </c>
      <c r="D798" s="9">
        <v>45395</v>
      </c>
      <c r="E798" s="13" t="str">
        <f>+HYPERLINK("http://trademark.i-assist.jp/data/china/image_1883th/76244982.pdf","76244982")</f>
        <v>76244982</v>
      </c>
      <c r="F798" s="7" t="s">
        <v>2160</v>
      </c>
      <c r="G798" s="7" t="s">
        <v>2161</v>
      </c>
      <c r="H798" s="7" t="s">
        <v>2162</v>
      </c>
      <c r="I798" s="9">
        <v>45299</v>
      </c>
    </row>
    <row r="799" spans="1:9" x14ac:dyDescent="0.15">
      <c r="A799" s="6">
        <v>798</v>
      </c>
      <c r="B799" s="7" t="s">
        <v>9</v>
      </c>
      <c r="C799" s="8">
        <v>1883</v>
      </c>
      <c r="D799" s="9">
        <v>45395</v>
      </c>
      <c r="E799" s="13" t="str">
        <f>+HYPERLINK("http://trademark.i-assist.jp/data/china/image_1883th/76245186.pdf","76245186")</f>
        <v>76245186</v>
      </c>
      <c r="F799" s="7" t="s">
        <v>2163</v>
      </c>
      <c r="G799" s="7" t="s">
        <v>2164</v>
      </c>
      <c r="H799" s="7" t="s">
        <v>2165</v>
      </c>
      <c r="I799" s="9">
        <v>45299</v>
      </c>
    </row>
    <row r="800" spans="1:9" x14ac:dyDescent="0.15">
      <c r="A800" s="6">
        <v>799</v>
      </c>
      <c r="B800" s="7" t="s">
        <v>9</v>
      </c>
      <c r="C800" s="8">
        <v>1883</v>
      </c>
      <c r="D800" s="9">
        <v>45395</v>
      </c>
      <c r="E800" s="13" t="str">
        <f>+HYPERLINK("http://trademark.i-assist.jp/data/china/image_1883th/76245620.pdf","76245620")</f>
        <v>76245620</v>
      </c>
      <c r="F800" s="7" t="s">
        <v>2166</v>
      </c>
      <c r="G800" s="7" t="s">
        <v>2167</v>
      </c>
      <c r="H800" s="7" t="s">
        <v>2168</v>
      </c>
      <c r="I800" s="9">
        <v>45299</v>
      </c>
    </row>
    <row r="801" spans="1:9" x14ac:dyDescent="0.15">
      <c r="A801" s="6">
        <v>800</v>
      </c>
      <c r="B801" s="7" t="s">
        <v>9</v>
      </c>
      <c r="C801" s="8">
        <v>1883</v>
      </c>
      <c r="D801" s="9">
        <v>45395</v>
      </c>
      <c r="E801" s="13" t="str">
        <f>+HYPERLINK("http://trademark.i-assist.jp/data/china/image_1883th/76246045.pdf","76246045")</f>
        <v>76246045</v>
      </c>
      <c r="F801" s="7" t="s">
        <v>2169</v>
      </c>
      <c r="G801" s="7" t="s">
        <v>1855</v>
      </c>
      <c r="H801" s="7" t="s">
        <v>2170</v>
      </c>
      <c r="I801" s="9">
        <v>45299</v>
      </c>
    </row>
    <row r="802" spans="1:9" x14ac:dyDescent="0.15">
      <c r="A802" s="6">
        <v>801</v>
      </c>
      <c r="B802" s="7" t="s">
        <v>9</v>
      </c>
      <c r="C802" s="8">
        <v>1883</v>
      </c>
      <c r="D802" s="9">
        <v>45395</v>
      </c>
      <c r="E802" s="13" t="str">
        <f>+HYPERLINK("http://trademark.i-assist.jp/data/china/image_1883th/76246274.pdf","76246274")</f>
        <v>76246274</v>
      </c>
      <c r="F802" s="7" t="s">
        <v>2171</v>
      </c>
      <c r="G802" s="7" t="s">
        <v>2172</v>
      </c>
      <c r="H802" s="7" t="s">
        <v>2173</v>
      </c>
      <c r="I802" s="9">
        <v>45299</v>
      </c>
    </row>
    <row r="803" spans="1:9" x14ac:dyDescent="0.15">
      <c r="A803" s="6">
        <v>802</v>
      </c>
      <c r="B803" s="7" t="s">
        <v>9</v>
      </c>
      <c r="C803" s="8">
        <v>1883</v>
      </c>
      <c r="D803" s="9">
        <v>45395</v>
      </c>
      <c r="E803" s="13" t="str">
        <f>+HYPERLINK("http://trademark.i-assist.jp/data/china/image_1883th/76246505.pdf","76246505")</f>
        <v>76246505</v>
      </c>
      <c r="F803" s="7" t="s">
        <v>2174</v>
      </c>
      <c r="G803" s="7" t="s">
        <v>2175</v>
      </c>
      <c r="H803" s="7" t="s">
        <v>2176</v>
      </c>
      <c r="I803" s="9">
        <v>45299</v>
      </c>
    </row>
    <row r="804" spans="1:9" x14ac:dyDescent="0.15">
      <c r="A804" s="6">
        <v>803</v>
      </c>
      <c r="B804" s="7" t="s">
        <v>9</v>
      </c>
      <c r="C804" s="8">
        <v>1883</v>
      </c>
      <c r="D804" s="9">
        <v>45395</v>
      </c>
      <c r="E804" s="13" t="str">
        <f>+HYPERLINK("http://trademark.i-assist.jp/data/china/image_1883th/76246523.pdf","76246523")</f>
        <v>76246523</v>
      </c>
      <c r="F804" s="7" t="s">
        <v>2177</v>
      </c>
      <c r="G804" s="7" t="s">
        <v>2178</v>
      </c>
      <c r="H804" s="7" t="s">
        <v>2179</v>
      </c>
      <c r="I804" s="9">
        <v>45299</v>
      </c>
    </row>
    <row r="805" spans="1:9" x14ac:dyDescent="0.15">
      <c r="A805" s="6">
        <v>804</v>
      </c>
      <c r="B805" s="7" t="s">
        <v>9</v>
      </c>
      <c r="C805" s="8">
        <v>1883</v>
      </c>
      <c r="D805" s="9">
        <v>45395</v>
      </c>
      <c r="E805" s="13" t="str">
        <f>+HYPERLINK("http://trademark.i-assist.jp/data/china/image_1883th/76246658.pdf","76246658")</f>
        <v>76246658</v>
      </c>
      <c r="F805" s="7" t="s">
        <v>2180</v>
      </c>
      <c r="G805" s="7" t="s">
        <v>2181</v>
      </c>
      <c r="H805" s="7" t="s">
        <v>2182</v>
      </c>
      <c r="I805" s="9">
        <v>45299</v>
      </c>
    </row>
    <row r="806" spans="1:9" x14ac:dyDescent="0.15">
      <c r="A806" s="6">
        <v>805</v>
      </c>
      <c r="B806" s="7" t="s">
        <v>9</v>
      </c>
      <c r="C806" s="8">
        <v>1883</v>
      </c>
      <c r="D806" s="9">
        <v>45395</v>
      </c>
      <c r="E806" s="13" t="str">
        <f>+HYPERLINK("http://trademark.i-assist.jp/data/china/image_1883th/76246933.pdf","76246933")</f>
        <v>76246933</v>
      </c>
      <c r="F806" s="7" t="s">
        <v>2183</v>
      </c>
      <c r="G806" s="7" t="s">
        <v>2184</v>
      </c>
      <c r="H806" s="7" t="s">
        <v>2185</v>
      </c>
      <c r="I806" s="9">
        <v>45299</v>
      </c>
    </row>
    <row r="807" spans="1:9" x14ac:dyDescent="0.15">
      <c r="A807" s="6">
        <v>806</v>
      </c>
      <c r="B807" s="7" t="s">
        <v>9</v>
      </c>
      <c r="C807" s="8">
        <v>1883</v>
      </c>
      <c r="D807" s="9">
        <v>45395</v>
      </c>
      <c r="E807" s="13" t="str">
        <f>+HYPERLINK("http://trademark.i-assist.jp/data/china/image_1883th/76247588.pdf","76247588")</f>
        <v>76247588</v>
      </c>
      <c r="F807" s="7" t="s">
        <v>57</v>
      </c>
      <c r="G807" s="7" t="s">
        <v>2186</v>
      </c>
      <c r="H807" s="7" t="s">
        <v>2187</v>
      </c>
      <c r="I807" s="9">
        <v>45299</v>
      </c>
    </row>
    <row r="808" spans="1:9" x14ac:dyDescent="0.15">
      <c r="A808" s="6">
        <v>807</v>
      </c>
      <c r="B808" s="7" t="s">
        <v>9</v>
      </c>
      <c r="C808" s="8">
        <v>1883</v>
      </c>
      <c r="D808" s="9">
        <v>45395</v>
      </c>
      <c r="E808" s="13" t="str">
        <f>+HYPERLINK("http://trademark.i-assist.jp/data/china/image_1883th/76248019.pdf","76248019")</f>
        <v>76248019</v>
      </c>
      <c r="F808" s="7" t="s">
        <v>2188</v>
      </c>
      <c r="G808" s="7" t="s">
        <v>2189</v>
      </c>
      <c r="H808" s="7" t="s">
        <v>2190</v>
      </c>
      <c r="I808" s="9">
        <v>45299</v>
      </c>
    </row>
    <row r="809" spans="1:9" x14ac:dyDescent="0.15">
      <c r="A809" s="6">
        <v>808</v>
      </c>
      <c r="B809" s="7" t="s">
        <v>9</v>
      </c>
      <c r="C809" s="8">
        <v>1883</v>
      </c>
      <c r="D809" s="9">
        <v>45395</v>
      </c>
      <c r="E809" s="13" t="str">
        <f>+HYPERLINK("http://trademark.i-assist.jp/data/china/image_1883th/76248150.pdf","76248150")</f>
        <v>76248150</v>
      </c>
      <c r="F809" s="7" t="s">
        <v>2191</v>
      </c>
      <c r="G809" s="7" t="s">
        <v>2192</v>
      </c>
      <c r="H809" s="7" t="s">
        <v>2193</v>
      </c>
      <c r="I809" s="9">
        <v>45299</v>
      </c>
    </row>
    <row r="810" spans="1:9" x14ac:dyDescent="0.15">
      <c r="A810" s="6">
        <v>809</v>
      </c>
      <c r="B810" s="7" t="s">
        <v>9</v>
      </c>
      <c r="C810" s="8">
        <v>1883</v>
      </c>
      <c r="D810" s="9">
        <v>45395</v>
      </c>
      <c r="E810" s="13" t="str">
        <f>+HYPERLINK("http://trademark.i-assist.jp/data/china/image_1883th/76248165.pdf","76248165")</f>
        <v>76248165</v>
      </c>
      <c r="F810" s="7" t="s">
        <v>2194</v>
      </c>
      <c r="G810" s="7" t="s">
        <v>2195</v>
      </c>
      <c r="H810" s="7" t="s">
        <v>2196</v>
      </c>
      <c r="I810" s="9">
        <v>45299</v>
      </c>
    </row>
    <row r="811" spans="1:9" x14ac:dyDescent="0.15">
      <c r="A811" s="6">
        <v>810</v>
      </c>
      <c r="B811" s="7" t="s">
        <v>9</v>
      </c>
      <c r="C811" s="8">
        <v>1883</v>
      </c>
      <c r="D811" s="9">
        <v>45395</v>
      </c>
      <c r="E811" s="13" t="str">
        <f>+HYPERLINK("http://trademark.i-assist.jp/data/china/image_1883th/76248183.pdf","76248183")</f>
        <v>76248183</v>
      </c>
      <c r="F811" s="7" t="s">
        <v>57</v>
      </c>
      <c r="G811" s="7" t="s">
        <v>2197</v>
      </c>
      <c r="H811" s="7" t="s">
        <v>2198</v>
      </c>
      <c r="I811" s="9">
        <v>45299</v>
      </c>
    </row>
    <row r="812" spans="1:9" x14ac:dyDescent="0.15">
      <c r="A812" s="6">
        <v>811</v>
      </c>
      <c r="B812" s="7" t="s">
        <v>9</v>
      </c>
      <c r="C812" s="8">
        <v>1883</v>
      </c>
      <c r="D812" s="9">
        <v>45395</v>
      </c>
      <c r="E812" s="13" t="str">
        <f>+HYPERLINK("http://trademark.i-assist.jp/data/china/image_1883th/76248450.pdf","76248450")</f>
        <v>76248450</v>
      </c>
      <c r="F812" s="7" t="s">
        <v>2199</v>
      </c>
      <c r="G812" s="7" t="s">
        <v>2189</v>
      </c>
      <c r="H812" s="7" t="s">
        <v>2200</v>
      </c>
      <c r="I812" s="9">
        <v>45299</v>
      </c>
    </row>
    <row r="813" spans="1:9" x14ac:dyDescent="0.15">
      <c r="A813" s="6">
        <v>812</v>
      </c>
      <c r="B813" s="7" t="s">
        <v>9</v>
      </c>
      <c r="C813" s="8">
        <v>1883</v>
      </c>
      <c r="D813" s="9">
        <v>45395</v>
      </c>
      <c r="E813" s="13" t="str">
        <f>+HYPERLINK("http://trademark.i-assist.jp/data/china/image_1883th/76248625.pdf","76248625")</f>
        <v>76248625</v>
      </c>
      <c r="F813" s="7" t="s">
        <v>2201</v>
      </c>
      <c r="G813" s="7" t="s">
        <v>2202</v>
      </c>
      <c r="H813" s="7" t="s">
        <v>2203</v>
      </c>
      <c r="I813" s="9">
        <v>45299</v>
      </c>
    </row>
    <row r="814" spans="1:9" ht="27" x14ac:dyDescent="0.15">
      <c r="A814" s="6">
        <v>813</v>
      </c>
      <c r="B814" s="7" t="s">
        <v>9</v>
      </c>
      <c r="C814" s="8">
        <v>1883</v>
      </c>
      <c r="D814" s="9">
        <v>45395</v>
      </c>
      <c r="E814" s="13" t="str">
        <f>+HYPERLINK("http://trademark.i-assist.jp/data/china/image_1883th/76249071.pdf","76249071")</f>
        <v>76249071</v>
      </c>
      <c r="F814" s="7" t="s">
        <v>2204</v>
      </c>
      <c r="G814" s="7" t="s">
        <v>2205</v>
      </c>
      <c r="H814" s="7" t="s">
        <v>2206</v>
      </c>
      <c r="I814" s="9">
        <v>45299</v>
      </c>
    </row>
    <row r="815" spans="1:9" ht="27" x14ac:dyDescent="0.15">
      <c r="A815" s="6">
        <v>814</v>
      </c>
      <c r="B815" s="7" t="s">
        <v>9</v>
      </c>
      <c r="C815" s="8">
        <v>1883</v>
      </c>
      <c r="D815" s="9">
        <v>45395</v>
      </c>
      <c r="E815" s="13" t="str">
        <f>+HYPERLINK("http://trademark.i-assist.jp/data/china/image_1883th/76249450.pdf","76249450")</f>
        <v>76249450</v>
      </c>
      <c r="F815" s="7" t="s">
        <v>2207</v>
      </c>
      <c r="G815" s="7" t="s">
        <v>2208</v>
      </c>
      <c r="H815" s="7" t="s">
        <v>2209</v>
      </c>
      <c r="I815" s="9">
        <v>45299</v>
      </c>
    </row>
    <row r="816" spans="1:9" x14ac:dyDescent="0.15">
      <c r="A816" s="6">
        <v>815</v>
      </c>
      <c r="B816" s="7" t="s">
        <v>9</v>
      </c>
      <c r="C816" s="8">
        <v>1883</v>
      </c>
      <c r="D816" s="9">
        <v>45395</v>
      </c>
      <c r="E816" s="13" t="str">
        <f>+HYPERLINK("http://trademark.i-assist.jp/data/china/image_1883th/76249740.pdf","76249740")</f>
        <v>76249740</v>
      </c>
      <c r="F816" s="7" t="s">
        <v>2210</v>
      </c>
      <c r="G816" s="7" t="s">
        <v>2211</v>
      </c>
      <c r="H816" s="7" t="s">
        <v>2212</v>
      </c>
      <c r="I816" s="9">
        <v>45299</v>
      </c>
    </row>
    <row r="817" spans="1:9" x14ac:dyDescent="0.15">
      <c r="A817" s="6">
        <v>816</v>
      </c>
      <c r="B817" s="7" t="s">
        <v>9</v>
      </c>
      <c r="C817" s="8">
        <v>1883</v>
      </c>
      <c r="D817" s="9">
        <v>45395</v>
      </c>
      <c r="E817" s="13" t="str">
        <f>+HYPERLINK("http://trademark.i-assist.jp/data/china/image_1883th/76249774.pdf","76249774")</f>
        <v>76249774</v>
      </c>
      <c r="F817" s="7" t="s">
        <v>2213</v>
      </c>
      <c r="G817" s="7" t="s">
        <v>2214</v>
      </c>
      <c r="H817" s="7" t="s">
        <v>2215</v>
      </c>
      <c r="I817" s="9">
        <v>45299</v>
      </c>
    </row>
    <row r="818" spans="1:9" ht="27" x14ac:dyDescent="0.15">
      <c r="A818" s="6">
        <v>817</v>
      </c>
      <c r="B818" s="7" t="s">
        <v>9</v>
      </c>
      <c r="C818" s="8">
        <v>1883</v>
      </c>
      <c r="D818" s="9">
        <v>45395</v>
      </c>
      <c r="E818" s="13" t="str">
        <f>+HYPERLINK("http://trademark.i-assist.jp/data/china/image_1883th/76249922.pdf","76249922")</f>
        <v>76249922</v>
      </c>
      <c r="F818" s="7" t="s">
        <v>2216</v>
      </c>
      <c r="G818" s="7" t="s">
        <v>2217</v>
      </c>
      <c r="H818" s="7" t="s">
        <v>2218</v>
      </c>
      <c r="I818" s="9">
        <v>45299</v>
      </c>
    </row>
    <row r="819" spans="1:9" x14ac:dyDescent="0.15">
      <c r="A819" s="6">
        <v>818</v>
      </c>
      <c r="B819" s="7" t="s">
        <v>9</v>
      </c>
      <c r="C819" s="8">
        <v>1883</v>
      </c>
      <c r="D819" s="9">
        <v>45395</v>
      </c>
      <c r="E819" s="13" t="str">
        <f>+HYPERLINK("http://trademark.i-assist.jp/data/china/image_1883th/76250257.pdf","76250257")</f>
        <v>76250257</v>
      </c>
      <c r="F819" s="7" t="s">
        <v>2219</v>
      </c>
      <c r="G819" s="7" t="s">
        <v>2220</v>
      </c>
      <c r="H819" s="7" t="s">
        <v>2221</v>
      </c>
      <c r="I819" s="9">
        <v>45299</v>
      </c>
    </row>
    <row r="820" spans="1:9" x14ac:dyDescent="0.15">
      <c r="A820" s="6">
        <v>819</v>
      </c>
      <c r="B820" s="7" t="s">
        <v>9</v>
      </c>
      <c r="C820" s="8">
        <v>1883</v>
      </c>
      <c r="D820" s="9">
        <v>45395</v>
      </c>
      <c r="E820" s="13" t="str">
        <f>+HYPERLINK("http://trademark.i-assist.jp/data/china/image_1883th/76250595.pdf","76250595")</f>
        <v>76250595</v>
      </c>
      <c r="F820" s="7" t="s">
        <v>2222</v>
      </c>
      <c r="G820" s="7" t="s">
        <v>2223</v>
      </c>
      <c r="H820" s="7" t="s">
        <v>2224</v>
      </c>
      <c r="I820" s="9">
        <v>45299</v>
      </c>
    </row>
    <row r="821" spans="1:9" x14ac:dyDescent="0.15">
      <c r="A821" s="6">
        <v>820</v>
      </c>
      <c r="B821" s="7" t="s">
        <v>9</v>
      </c>
      <c r="C821" s="8">
        <v>1883</v>
      </c>
      <c r="D821" s="9">
        <v>45395</v>
      </c>
      <c r="E821" s="13" t="str">
        <f>+HYPERLINK("http://trademark.i-assist.jp/data/china/image_1883th/76250735.pdf","76250735")</f>
        <v>76250735</v>
      </c>
      <c r="F821" s="7" t="s">
        <v>2225</v>
      </c>
      <c r="G821" s="7" t="s">
        <v>2226</v>
      </c>
      <c r="H821" s="7" t="s">
        <v>2227</v>
      </c>
      <c r="I821" s="9">
        <v>45299</v>
      </c>
    </row>
    <row r="822" spans="1:9" x14ac:dyDescent="0.15">
      <c r="A822" s="6">
        <v>821</v>
      </c>
      <c r="B822" s="7" t="s">
        <v>9</v>
      </c>
      <c r="C822" s="8">
        <v>1883</v>
      </c>
      <c r="D822" s="9">
        <v>45395</v>
      </c>
      <c r="E822" s="13" t="str">
        <f>+HYPERLINK("http://trademark.i-assist.jp/data/china/image_1883th/76251166.pdf","76251166")</f>
        <v>76251166</v>
      </c>
      <c r="F822" s="7" t="s">
        <v>2228</v>
      </c>
      <c r="G822" s="7" t="s">
        <v>2229</v>
      </c>
      <c r="H822" s="7" t="s">
        <v>2230</v>
      </c>
      <c r="I822" s="9">
        <v>45299</v>
      </c>
    </row>
    <row r="823" spans="1:9" x14ac:dyDescent="0.15">
      <c r="A823" s="6">
        <v>822</v>
      </c>
      <c r="B823" s="7" t="s">
        <v>9</v>
      </c>
      <c r="C823" s="8">
        <v>1883</v>
      </c>
      <c r="D823" s="9">
        <v>45395</v>
      </c>
      <c r="E823" s="13" t="str">
        <f>+HYPERLINK("http://trademark.i-assist.jp/data/china/image_1883th/76251214.pdf","76251214")</f>
        <v>76251214</v>
      </c>
      <c r="F823" s="7" t="s">
        <v>2231</v>
      </c>
      <c r="G823" s="7" t="s">
        <v>2232</v>
      </c>
      <c r="H823" s="7" t="s">
        <v>2233</v>
      </c>
      <c r="I823" s="9">
        <v>45299</v>
      </c>
    </row>
    <row r="824" spans="1:9" x14ac:dyDescent="0.15">
      <c r="A824" s="6">
        <v>823</v>
      </c>
      <c r="B824" s="7" t="s">
        <v>9</v>
      </c>
      <c r="C824" s="8">
        <v>1883</v>
      </c>
      <c r="D824" s="9">
        <v>45395</v>
      </c>
      <c r="E824" s="13" t="str">
        <f>+HYPERLINK("http://trademark.i-assist.jp/data/china/image_1883th/76252557.pdf","76252557")</f>
        <v>76252557</v>
      </c>
      <c r="F824" s="7" t="s">
        <v>2234</v>
      </c>
      <c r="G824" s="7" t="s">
        <v>2235</v>
      </c>
      <c r="H824" s="7" t="s">
        <v>2236</v>
      </c>
      <c r="I824" s="9">
        <v>45299</v>
      </c>
    </row>
    <row r="825" spans="1:9" x14ac:dyDescent="0.15">
      <c r="A825" s="6">
        <v>824</v>
      </c>
      <c r="B825" s="7" t="s">
        <v>9</v>
      </c>
      <c r="C825" s="8">
        <v>1883</v>
      </c>
      <c r="D825" s="9">
        <v>45395</v>
      </c>
      <c r="E825" s="13" t="str">
        <f>+HYPERLINK("http://trademark.i-assist.jp/data/china/image_1883th/76252621.pdf","76252621")</f>
        <v>76252621</v>
      </c>
      <c r="F825" s="7" t="s">
        <v>2237</v>
      </c>
      <c r="G825" s="7" t="s">
        <v>2238</v>
      </c>
      <c r="H825" s="7" t="s">
        <v>2239</v>
      </c>
      <c r="I825" s="9">
        <v>45299</v>
      </c>
    </row>
    <row r="826" spans="1:9" ht="27" x14ac:dyDescent="0.15">
      <c r="A826" s="6">
        <v>825</v>
      </c>
      <c r="B826" s="7" t="s">
        <v>9</v>
      </c>
      <c r="C826" s="8">
        <v>1883</v>
      </c>
      <c r="D826" s="9">
        <v>45395</v>
      </c>
      <c r="E826" s="13" t="str">
        <f>+HYPERLINK("http://trademark.i-assist.jp/data/china/image_1883th/76252697.pdf","76252697")</f>
        <v>76252697</v>
      </c>
      <c r="F826" s="7" t="s">
        <v>2240</v>
      </c>
      <c r="G826" s="7" t="s">
        <v>2241</v>
      </c>
      <c r="H826" s="7" t="s">
        <v>2242</v>
      </c>
      <c r="I826" s="9">
        <v>45299</v>
      </c>
    </row>
    <row r="827" spans="1:9" x14ac:dyDescent="0.15">
      <c r="A827" s="6">
        <v>826</v>
      </c>
      <c r="B827" s="7" t="s">
        <v>9</v>
      </c>
      <c r="C827" s="8">
        <v>1883</v>
      </c>
      <c r="D827" s="9">
        <v>45395</v>
      </c>
      <c r="E827" s="13" t="str">
        <f>+HYPERLINK("http://trademark.i-assist.jp/data/china/image_1883th/76252881.pdf","76252881")</f>
        <v>76252881</v>
      </c>
      <c r="F827" s="7" t="s">
        <v>2243</v>
      </c>
      <c r="G827" s="7" t="s">
        <v>2244</v>
      </c>
      <c r="H827" s="7" t="s">
        <v>2245</v>
      </c>
      <c r="I827" s="9">
        <v>45299</v>
      </c>
    </row>
    <row r="828" spans="1:9" x14ac:dyDescent="0.15">
      <c r="A828" s="6">
        <v>827</v>
      </c>
      <c r="B828" s="7" t="s">
        <v>9</v>
      </c>
      <c r="C828" s="8">
        <v>1883</v>
      </c>
      <c r="D828" s="9">
        <v>45395</v>
      </c>
      <c r="E828" s="13" t="str">
        <f>+HYPERLINK("http://trademark.i-assist.jp/data/china/image_1883th/76252974.pdf","76252974")</f>
        <v>76252974</v>
      </c>
      <c r="F828" s="7" t="s">
        <v>2246</v>
      </c>
      <c r="G828" s="7" t="s">
        <v>2247</v>
      </c>
      <c r="H828" s="7" t="s">
        <v>2248</v>
      </c>
      <c r="I828" s="9">
        <v>45299</v>
      </c>
    </row>
    <row r="829" spans="1:9" x14ac:dyDescent="0.15">
      <c r="A829" s="6">
        <v>828</v>
      </c>
      <c r="B829" s="7" t="s">
        <v>9</v>
      </c>
      <c r="C829" s="8">
        <v>1883</v>
      </c>
      <c r="D829" s="9">
        <v>45395</v>
      </c>
      <c r="E829" s="13" t="str">
        <f>+HYPERLINK("http://trademark.i-assist.jp/data/china/image_1883th/76253379.pdf","76253379")</f>
        <v>76253379</v>
      </c>
      <c r="F829" s="7" t="s">
        <v>2249</v>
      </c>
      <c r="G829" s="7" t="s">
        <v>2250</v>
      </c>
      <c r="H829" s="7" t="s">
        <v>2251</v>
      </c>
      <c r="I829" s="9">
        <v>45299</v>
      </c>
    </row>
    <row r="830" spans="1:9" x14ac:dyDescent="0.15">
      <c r="A830" s="6">
        <v>829</v>
      </c>
      <c r="B830" s="7" t="s">
        <v>9</v>
      </c>
      <c r="C830" s="8">
        <v>1883</v>
      </c>
      <c r="D830" s="9">
        <v>45395</v>
      </c>
      <c r="E830" s="13" t="str">
        <f>+HYPERLINK("http://trademark.i-assist.jp/data/china/image_1883th/76253393.pdf","76253393")</f>
        <v>76253393</v>
      </c>
      <c r="F830" s="7" t="s">
        <v>2252</v>
      </c>
      <c r="G830" s="7" t="s">
        <v>2253</v>
      </c>
      <c r="H830" s="7" t="s">
        <v>2254</v>
      </c>
      <c r="I830" s="9">
        <v>45299</v>
      </c>
    </row>
    <row r="831" spans="1:9" x14ac:dyDescent="0.15">
      <c r="A831" s="6">
        <v>830</v>
      </c>
      <c r="B831" s="7" t="s">
        <v>9</v>
      </c>
      <c r="C831" s="8">
        <v>1883</v>
      </c>
      <c r="D831" s="9">
        <v>45395</v>
      </c>
      <c r="E831" s="13" t="str">
        <f>+HYPERLINK("http://trademark.i-assist.jp/data/china/image_1883th/76253803.pdf","76253803")</f>
        <v>76253803</v>
      </c>
      <c r="F831" s="7" t="s">
        <v>2255</v>
      </c>
      <c r="G831" s="7" t="s">
        <v>2256</v>
      </c>
      <c r="H831" s="7" t="s">
        <v>2257</v>
      </c>
      <c r="I831" s="9">
        <v>45299</v>
      </c>
    </row>
    <row r="832" spans="1:9" x14ac:dyDescent="0.15">
      <c r="A832" s="6">
        <v>831</v>
      </c>
      <c r="B832" s="7" t="s">
        <v>9</v>
      </c>
      <c r="C832" s="8">
        <v>1883</v>
      </c>
      <c r="D832" s="9">
        <v>45395</v>
      </c>
      <c r="E832" s="13" t="str">
        <f>+HYPERLINK("http://trademark.i-assist.jp/data/china/image_1883th/76254015.pdf","76254015")</f>
        <v>76254015</v>
      </c>
      <c r="F832" s="7" t="s">
        <v>2258</v>
      </c>
      <c r="G832" s="7" t="s">
        <v>2259</v>
      </c>
      <c r="H832" s="7" t="s">
        <v>1178</v>
      </c>
      <c r="I832" s="9">
        <v>45299</v>
      </c>
    </row>
    <row r="833" spans="1:9" x14ac:dyDescent="0.15">
      <c r="A833" s="6">
        <v>832</v>
      </c>
      <c r="B833" s="7" t="s">
        <v>9</v>
      </c>
      <c r="C833" s="8">
        <v>1883</v>
      </c>
      <c r="D833" s="9">
        <v>45395</v>
      </c>
      <c r="E833" s="13" t="str">
        <f>+HYPERLINK("http://trademark.i-assist.jp/data/china/image_1883th/76254079.pdf","76254079")</f>
        <v>76254079</v>
      </c>
      <c r="F833" s="7" t="s">
        <v>2260</v>
      </c>
      <c r="G833" s="7" t="s">
        <v>2261</v>
      </c>
      <c r="H833" s="7" t="s">
        <v>2262</v>
      </c>
      <c r="I833" s="9">
        <v>45299</v>
      </c>
    </row>
    <row r="834" spans="1:9" x14ac:dyDescent="0.15">
      <c r="A834" s="6">
        <v>833</v>
      </c>
      <c r="B834" s="7" t="s">
        <v>9</v>
      </c>
      <c r="C834" s="8">
        <v>1883</v>
      </c>
      <c r="D834" s="9">
        <v>45395</v>
      </c>
      <c r="E834" s="13" t="str">
        <f>+HYPERLINK("http://trademark.i-assist.jp/data/china/image_1883th/76254488.pdf","76254488")</f>
        <v>76254488</v>
      </c>
      <c r="F834" s="7" t="s">
        <v>2263</v>
      </c>
      <c r="G834" s="7" t="s">
        <v>2264</v>
      </c>
      <c r="H834" s="7" t="s">
        <v>2265</v>
      </c>
      <c r="I834" s="9">
        <v>45299</v>
      </c>
    </row>
    <row r="835" spans="1:9" x14ac:dyDescent="0.15">
      <c r="A835" s="6">
        <v>834</v>
      </c>
      <c r="B835" s="7" t="s">
        <v>9</v>
      </c>
      <c r="C835" s="8">
        <v>1883</v>
      </c>
      <c r="D835" s="9">
        <v>45395</v>
      </c>
      <c r="E835" s="13" t="str">
        <f>+HYPERLINK("http://trademark.i-assist.jp/data/china/image_1883th/76254699.pdf","76254699")</f>
        <v>76254699</v>
      </c>
      <c r="F835" s="7" t="s">
        <v>2266</v>
      </c>
      <c r="G835" s="7" t="s">
        <v>2267</v>
      </c>
      <c r="H835" s="7" t="s">
        <v>2268</v>
      </c>
      <c r="I835" s="9">
        <v>45299</v>
      </c>
    </row>
    <row r="836" spans="1:9" x14ac:dyDescent="0.15">
      <c r="A836" s="6">
        <v>835</v>
      </c>
      <c r="B836" s="7" t="s">
        <v>9</v>
      </c>
      <c r="C836" s="8">
        <v>1883</v>
      </c>
      <c r="D836" s="9">
        <v>45395</v>
      </c>
      <c r="E836" s="13" t="str">
        <f>+HYPERLINK("http://trademark.i-assist.jp/data/china/image_1883th/76254711.pdf","76254711")</f>
        <v>76254711</v>
      </c>
      <c r="F836" s="7" t="s">
        <v>2269</v>
      </c>
      <c r="G836" s="7" t="s">
        <v>2270</v>
      </c>
      <c r="H836" s="7" t="s">
        <v>2271</v>
      </c>
      <c r="I836" s="9">
        <v>45299</v>
      </c>
    </row>
    <row r="837" spans="1:9" ht="27" x14ac:dyDescent="0.15">
      <c r="A837" s="6">
        <v>836</v>
      </c>
      <c r="B837" s="7" t="s">
        <v>9</v>
      </c>
      <c r="C837" s="8">
        <v>1883</v>
      </c>
      <c r="D837" s="9">
        <v>45395</v>
      </c>
      <c r="E837" s="13" t="str">
        <f>+HYPERLINK("http://trademark.i-assist.jp/data/china/image_1883th/76254759.pdf","76254759")</f>
        <v>76254759</v>
      </c>
      <c r="F837" s="7" t="s">
        <v>57</v>
      </c>
      <c r="G837" s="7" t="s">
        <v>2272</v>
      </c>
      <c r="H837" s="7" t="s">
        <v>2273</v>
      </c>
      <c r="I837" s="9">
        <v>45299</v>
      </c>
    </row>
    <row r="838" spans="1:9" x14ac:dyDescent="0.15">
      <c r="A838" s="6">
        <v>837</v>
      </c>
      <c r="B838" s="7" t="s">
        <v>9</v>
      </c>
      <c r="C838" s="8">
        <v>1883</v>
      </c>
      <c r="D838" s="9">
        <v>45395</v>
      </c>
      <c r="E838" s="13" t="str">
        <f>+HYPERLINK("http://trademark.i-assist.jp/data/china/image_1883th/76255022.pdf","76255022")</f>
        <v>76255022</v>
      </c>
      <c r="F838" s="7" t="s">
        <v>2274</v>
      </c>
      <c r="G838" s="7" t="s">
        <v>2275</v>
      </c>
      <c r="H838" s="7" t="s">
        <v>2276</v>
      </c>
      <c r="I838" s="9">
        <v>45299</v>
      </c>
    </row>
    <row r="839" spans="1:9" x14ac:dyDescent="0.15">
      <c r="A839" s="6">
        <v>838</v>
      </c>
      <c r="B839" s="7" t="s">
        <v>9</v>
      </c>
      <c r="C839" s="8">
        <v>1883</v>
      </c>
      <c r="D839" s="9">
        <v>45395</v>
      </c>
      <c r="E839" s="13" t="str">
        <f>+HYPERLINK("http://trademark.i-assist.jp/data/china/image_1883th/76255075.pdf","76255075")</f>
        <v>76255075</v>
      </c>
      <c r="F839" s="7" t="s">
        <v>2277</v>
      </c>
      <c r="G839" s="7" t="s">
        <v>2278</v>
      </c>
      <c r="H839" s="7" t="s">
        <v>2279</v>
      </c>
      <c r="I839" s="9">
        <v>45299</v>
      </c>
    </row>
    <row r="840" spans="1:9" x14ac:dyDescent="0.15">
      <c r="A840" s="6">
        <v>839</v>
      </c>
      <c r="B840" s="7" t="s">
        <v>9</v>
      </c>
      <c r="C840" s="8">
        <v>1883</v>
      </c>
      <c r="D840" s="9">
        <v>45395</v>
      </c>
      <c r="E840" s="13" t="str">
        <f>+HYPERLINK("http://trademark.i-assist.jp/data/china/image_1883th/76255170.pdf","76255170")</f>
        <v>76255170</v>
      </c>
      <c r="F840" s="7" t="s">
        <v>2280</v>
      </c>
      <c r="G840" s="7" t="s">
        <v>2281</v>
      </c>
      <c r="H840" s="7" t="s">
        <v>2282</v>
      </c>
      <c r="I840" s="9">
        <v>45299</v>
      </c>
    </row>
    <row r="841" spans="1:9" x14ac:dyDescent="0.15">
      <c r="A841" s="6">
        <v>840</v>
      </c>
      <c r="B841" s="7" t="s">
        <v>9</v>
      </c>
      <c r="C841" s="8">
        <v>1883</v>
      </c>
      <c r="D841" s="9">
        <v>45395</v>
      </c>
      <c r="E841" s="13" t="str">
        <f>+HYPERLINK("http://trademark.i-assist.jp/data/china/image_1883th/76255214.pdf","76255214")</f>
        <v>76255214</v>
      </c>
      <c r="F841" s="7" t="s">
        <v>2283</v>
      </c>
      <c r="G841" s="7" t="s">
        <v>2167</v>
      </c>
      <c r="H841" s="7" t="s">
        <v>2284</v>
      </c>
      <c r="I841" s="9">
        <v>45299</v>
      </c>
    </row>
    <row r="842" spans="1:9" x14ac:dyDescent="0.15">
      <c r="A842" s="6">
        <v>841</v>
      </c>
      <c r="B842" s="7" t="s">
        <v>9</v>
      </c>
      <c r="C842" s="8">
        <v>1883</v>
      </c>
      <c r="D842" s="9">
        <v>45395</v>
      </c>
      <c r="E842" s="13" t="str">
        <f>+HYPERLINK("http://trademark.i-assist.jp/data/china/image_1883th/76255235.pdf","76255235")</f>
        <v>76255235</v>
      </c>
      <c r="F842" s="7" t="s">
        <v>2285</v>
      </c>
      <c r="G842" s="7" t="s">
        <v>2286</v>
      </c>
      <c r="H842" s="7" t="s">
        <v>2287</v>
      </c>
      <c r="I842" s="9">
        <v>45299</v>
      </c>
    </row>
    <row r="843" spans="1:9" x14ac:dyDescent="0.15">
      <c r="A843" s="6">
        <v>842</v>
      </c>
      <c r="B843" s="7" t="s">
        <v>9</v>
      </c>
      <c r="C843" s="8">
        <v>1883</v>
      </c>
      <c r="D843" s="9">
        <v>45395</v>
      </c>
      <c r="E843" s="13" t="str">
        <f>+HYPERLINK("http://trademark.i-assist.jp/data/china/image_1883th/76255935.pdf","76255935")</f>
        <v>76255935</v>
      </c>
      <c r="F843" s="7" t="s">
        <v>2288</v>
      </c>
      <c r="G843" s="7" t="s">
        <v>2289</v>
      </c>
      <c r="H843" s="7" t="s">
        <v>2290</v>
      </c>
      <c r="I843" s="9">
        <v>45299</v>
      </c>
    </row>
    <row r="844" spans="1:9" x14ac:dyDescent="0.15">
      <c r="A844" s="6">
        <v>843</v>
      </c>
      <c r="B844" s="7" t="s">
        <v>9</v>
      </c>
      <c r="C844" s="8">
        <v>1883</v>
      </c>
      <c r="D844" s="9">
        <v>45395</v>
      </c>
      <c r="E844" s="13" t="str">
        <f>+HYPERLINK("http://trademark.i-assist.jp/data/china/image_1883th/76256195.pdf","76256195")</f>
        <v>76256195</v>
      </c>
      <c r="F844" s="7" t="s">
        <v>2291</v>
      </c>
      <c r="G844" s="7" t="s">
        <v>2292</v>
      </c>
      <c r="H844" s="7" t="s">
        <v>2293</v>
      </c>
      <c r="I844" s="9">
        <v>45299</v>
      </c>
    </row>
    <row r="845" spans="1:9" x14ac:dyDescent="0.15">
      <c r="A845" s="6">
        <v>844</v>
      </c>
      <c r="B845" s="7" t="s">
        <v>9</v>
      </c>
      <c r="C845" s="8">
        <v>1883</v>
      </c>
      <c r="D845" s="9">
        <v>45395</v>
      </c>
      <c r="E845" s="13" t="str">
        <f>+HYPERLINK("http://trademark.i-assist.jp/data/china/image_1883th/76256430.pdf","76256430")</f>
        <v>76256430</v>
      </c>
      <c r="F845" s="7" t="s">
        <v>2294</v>
      </c>
      <c r="G845" s="7" t="s">
        <v>2295</v>
      </c>
      <c r="H845" s="7" t="s">
        <v>2296</v>
      </c>
      <c r="I845" s="9">
        <v>45299</v>
      </c>
    </row>
    <row r="846" spans="1:9" x14ac:dyDescent="0.15">
      <c r="A846" s="6">
        <v>845</v>
      </c>
      <c r="B846" s="7" t="s">
        <v>9</v>
      </c>
      <c r="C846" s="8">
        <v>1883</v>
      </c>
      <c r="D846" s="9">
        <v>45395</v>
      </c>
      <c r="E846" s="13" t="str">
        <f>+HYPERLINK("http://trademark.i-assist.jp/data/china/image_1883th/76256798.pdf","76256798")</f>
        <v>76256798</v>
      </c>
      <c r="F846" s="7" t="s">
        <v>2297</v>
      </c>
      <c r="G846" s="7" t="s">
        <v>2298</v>
      </c>
      <c r="H846" s="7" t="s">
        <v>2299</v>
      </c>
      <c r="I846" s="9">
        <v>45299</v>
      </c>
    </row>
    <row r="847" spans="1:9" ht="27" x14ac:dyDescent="0.15">
      <c r="A847" s="6">
        <v>846</v>
      </c>
      <c r="B847" s="7" t="s">
        <v>9</v>
      </c>
      <c r="C847" s="8">
        <v>1883</v>
      </c>
      <c r="D847" s="9">
        <v>45395</v>
      </c>
      <c r="E847" s="13" t="str">
        <f>+HYPERLINK("http://trademark.i-assist.jp/data/china/image_1883th/76256946.pdf","76256946")</f>
        <v>76256946</v>
      </c>
      <c r="F847" s="7" t="s">
        <v>2300</v>
      </c>
      <c r="G847" s="7" t="s">
        <v>2125</v>
      </c>
      <c r="H847" s="7" t="s">
        <v>2301</v>
      </c>
      <c r="I847" s="9">
        <v>45299</v>
      </c>
    </row>
    <row r="848" spans="1:9" x14ac:dyDescent="0.15">
      <c r="A848" s="6">
        <v>847</v>
      </c>
      <c r="B848" s="7" t="s">
        <v>9</v>
      </c>
      <c r="C848" s="8">
        <v>1883</v>
      </c>
      <c r="D848" s="9">
        <v>45395</v>
      </c>
      <c r="E848" s="13" t="str">
        <f>+HYPERLINK("http://trademark.i-assist.jp/data/china/image_1883th/76257104.pdf","76257104")</f>
        <v>76257104</v>
      </c>
      <c r="F848" s="7" t="s">
        <v>2302</v>
      </c>
      <c r="G848" s="7" t="s">
        <v>2303</v>
      </c>
      <c r="H848" s="7" t="s">
        <v>2304</v>
      </c>
      <c r="I848" s="9">
        <v>45299</v>
      </c>
    </row>
    <row r="849" spans="1:9" x14ac:dyDescent="0.15">
      <c r="A849" s="6">
        <v>848</v>
      </c>
      <c r="B849" s="7" t="s">
        <v>9</v>
      </c>
      <c r="C849" s="8">
        <v>1883</v>
      </c>
      <c r="D849" s="9">
        <v>45395</v>
      </c>
      <c r="E849" s="13" t="str">
        <f>+HYPERLINK("http://trademark.i-assist.jp/data/china/image_1883th/76257379.pdf","76257379")</f>
        <v>76257379</v>
      </c>
      <c r="F849" s="7" t="s">
        <v>2305</v>
      </c>
      <c r="G849" s="7" t="s">
        <v>2306</v>
      </c>
      <c r="H849" s="7" t="s">
        <v>2307</v>
      </c>
      <c r="I849" s="9">
        <v>45299</v>
      </c>
    </row>
    <row r="850" spans="1:9" x14ac:dyDescent="0.15">
      <c r="A850" s="6">
        <v>849</v>
      </c>
      <c r="B850" s="7" t="s">
        <v>9</v>
      </c>
      <c r="C850" s="8">
        <v>1883</v>
      </c>
      <c r="D850" s="9">
        <v>45395</v>
      </c>
      <c r="E850" s="13" t="str">
        <f>+HYPERLINK("http://trademark.i-assist.jp/data/china/image_1883th/76257779.pdf","76257779")</f>
        <v>76257779</v>
      </c>
      <c r="F850" s="7" t="s">
        <v>57</v>
      </c>
      <c r="G850" s="7" t="s">
        <v>2308</v>
      </c>
      <c r="H850" s="7" t="s">
        <v>2309</v>
      </c>
      <c r="I850" s="9">
        <v>45299</v>
      </c>
    </row>
    <row r="851" spans="1:9" x14ac:dyDescent="0.15">
      <c r="A851" s="6">
        <v>850</v>
      </c>
      <c r="B851" s="7" t="s">
        <v>9</v>
      </c>
      <c r="C851" s="8">
        <v>1883</v>
      </c>
      <c r="D851" s="9">
        <v>45395</v>
      </c>
      <c r="E851" s="13" t="str">
        <f>+HYPERLINK("http://trademark.i-assist.jp/data/china/image_1883th/76258000.pdf","76258000")</f>
        <v>76258000</v>
      </c>
      <c r="F851" s="7" t="s">
        <v>2310</v>
      </c>
      <c r="G851" s="7" t="s">
        <v>2311</v>
      </c>
      <c r="H851" s="7" t="s">
        <v>2312</v>
      </c>
      <c r="I851" s="9">
        <v>45299</v>
      </c>
    </row>
    <row r="852" spans="1:9" x14ac:dyDescent="0.15">
      <c r="A852" s="6">
        <v>851</v>
      </c>
      <c r="B852" s="7" t="s">
        <v>9</v>
      </c>
      <c r="C852" s="8">
        <v>1883</v>
      </c>
      <c r="D852" s="9">
        <v>45395</v>
      </c>
      <c r="E852" s="13" t="str">
        <f>+HYPERLINK("http://trademark.i-assist.jp/data/china/image_1883th/76258093.pdf","76258093")</f>
        <v>76258093</v>
      </c>
      <c r="F852" s="7" t="s">
        <v>2313</v>
      </c>
      <c r="G852" s="7" t="s">
        <v>2314</v>
      </c>
      <c r="H852" s="7" t="s">
        <v>2315</v>
      </c>
      <c r="I852" s="9">
        <v>45299</v>
      </c>
    </row>
    <row r="853" spans="1:9" x14ac:dyDescent="0.15">
      <c r="A853" s="6">
        <v>852</v>
      </c>
      <c r="B853" s="7" t="s">
        <v>9</v>
      </c>
      <c r="C853" s="8">
        <v>1883</v>
      </c>
      <c r="D853" s="9">
        <v>45395</v>
      </c>
      <c r="E853" s="13" t="str">
        <f>+HYPERLINK("http://trademark.i-assist.jp/data/china/image_1883th/76258107.pdf","76258107")</f>
        <v>76258107</v>
      </c>
      <c r="F853" s="7" t="s">
        <v>2316</v>
      </c>
      <c r="G853" s="7" t="s">
        <v>2314</v>
      </c>
      <c r="H853" s="7" t="s">
        <v>2317</v>
      </c>
      <c r="I853" s="9">
        <v>45299</v>
      </c>
    </row>
    <row r="854" spans="1:9" x14ac:dyDescent="0.15">
      <c r="A854" s="6">
        <v>853</v>
      </c>
      <c r="B854" s="7" t="s">
        <v>9</v>
      </c>
      <c r="C854" s="8">
        <v>1883</v>
      </c>
      <c r="D854" s="9">
        <v>45395</v>
      </c>
      <c r="E854" s="13" t="str">
        <f>+HYPERLINK("http://trademark.i-assist.jp/data/china/image_1883th/76258719.pdf","76258719")</f>
        <v>76258719</v>
      </c>
      <c r="F854" s="7" t="s">
        <v>2318</v>
      </c>
      <c r="G854" s="7" t="s">
        <v>2319</v>
      </c>
      <c r="H854" s="7" t="s">
        <v>2320</v>
      </c>
      <c r="I854" s="9">
        <v>45299</v>
      </c>
    </row>
    <row r="855" spans="1:9" x14ac:dyDescent="0.15">
      <c r="A855" s="6">
        <v>854</v>
      </c>
      <c r="B855" s="7" t="s">
        <v>9</v>
      </c>
      <c r="C855" s="8">
        <v>1883</v>
      </c>
      <c r="D855" s="9">
        <v>45395</v>
      </c>
      <c r="E855" s="13" t="str">
        <f>+HYPERLINK("http://trademark.i-assist.jp/data/china/image_1883th/76259016.pdf","76259016")</f>
        <v>76259016</v>
      </c>
      <c r="F855" s="7" t="s">
        <v>2321</v>
      </c>
      <c r="G855" s="7" t="s">
        <v>2322</v>
      </c>
      <c r="H855" s="7" t="s">
        <v>2323</v>
      </c>
      <c r="I855" s="9">
        <v>45299</v>
      </c>
    </row>
    <row r="856" spans="1:9" ht="27" x14ac:dyDescent="0.15">
      <c r="A856" s="6">
        <v>855</v>
      </c>
      <c r="B856" s="7" t="s">
        <v>9</v>
      </c>
      <c r="C856" s="8">
        <v>1883</v>
      </c>
      <c r="D856" s="9">
        <v>45395</v>
      </c>
      <c r="E856" s="13" t="str">
        <f>+HYPERLINK("http://trademark.i-assist.jp/data/china/image_1883th/76259181.pdf","76259181")</f>
        <v>76259181</v>
      </c>
      <c r="F856" s="7" t="s">
        <v>2324</v>
      </c>
      <c r="G856" s="7" t="s">
        <v>2325</v>
      </c>
      <c r="H856" s="7" t="s">
        <v>2326</v>
      </c>
      <c r="I856" s="9">
        <v>45299</v>
      </c>
    </row>
    <row r="857" spans="1:9" ht="27" x14ac:dyDescent="0.15">
      <c r="A857" s="6">
        <v>856</v>
      </c>
      <c r="B857" s="7" t="s">
        <v>9</v>
      </c>
      <c r="C857" s="8">
        <v>1883</v>
      </c>
      <c r="D857" s="9">
        <v>45395</v>
      </c>
      <c r="E857" s="13" t="str">
        <f>+HYPERLINK("http://trademark.i-assist.jp/data/china/image_1883th/76259255.pdf","76259255")</f>
        <v>76259255</v>
      </c>
      <c r="F857" s="7" t="s">
        <v>2327</v>
      </c>
      <c r="G857" s="7" t="s">
        <v>2328</v>
      </c>
      <c r="H857" s="7" t="s">
        <v>2329</v>
      </c>
      <c r="I857" s="9">
        <v>45299</v>
      </c>
    </row>
    <row r="858" spans="1:9" ht="27" x14ac:dyDescent="0.15">
      <c r="A858" s="6">
        <v>857</v>
      </c>
      <c r="B858" s="7" t="s">
        <v>9</v>
      </c>
      <c r="C858" s="8">
        <v>1883</v>
      </c>
      <c r="D858" s="9">
        <v>45395</v>
      </c>
      <c r="E858" s="13" t="str">
        <f>+HYPERLINK("http://trademark.i-assist.jp/data/china/image_1883th/76259463.pdf","76259463")</f>
        <v>76259463</v>
      </c>
      <c r="F858" s="7" t="s">
        <v>2330</v>
      </c>
      <c r="G858" s="7" t="s">
        <v>2331</v>
      </c>
      <c r="H858" s="7" t="s">
        <v>2332</v>
      </c>
      <c r="I858" s="9">
        <v>45299</v>
      </c>
    </row>
    <row r="859" spans="1:9" ht="27" x14ac:dyDescent="0.15">
      <c r="A859" s="6">
        <v>858</v>
      </c>
      <c r="B859" s="7" t="s">
        <v>9</v>
      </c>
      <c r="C859" s="8">
        <v>1883</v>
      </c>
      <c r="D859" s="9">
        <v>45395</v>
      </c>
      <c r="E859" s="13" t="str">
        <f>+HYPERLINK("http://trademark.i-assist.jp/data/china/image_1883th/76259579.pdf","76259579")</f>
        <v>76259579</v>
      </c>
      <c r="F859" s="7" t="s">
        <v>2333</v>
      </c>
      <c r="G859" s="7" t="s">
        <v>2334</v>
      </c>
      <c r="H859" s="7" t="s">
        <v>2335</v>
      </c>
      <c r="I859" s="9">
        <v>45299</v>
      </c>
    </row>
    <row r="860" spans="1:9" x14ac:dyDescent="0.15">
      <c r="A860" s="6">
        <v>859</v>
      </c>
      <c r="B860" s="7" t="s">
        <v>9</v>
      </c>
      <c r="C860" s="8">
        <v>1883</v>
      </c>
      <c r="D860" s="9">
        <v>45395</v>
      </c>
      <c r="E860" s="13" t="str">
        <f>+HYPERLINK("http://trademark.i-assist.jp/data/china/image_1883th/76259677.pdf","76259677")</f>
        <v>76259677</v>
      </c>
      <c r="F860" s="7" t="s">
        <v>2336</v>
      </c>
      <c r="G860" s="7" t="s">
        <v>2337</v>
      </c>
      <c r="H860" s="7" t="s">
        <v>2338</v>
      </c>
      <c r="I860" s="9">
        <v>45299</v>
      </c>
    </row>
    <row r="861" spans="1:9" x14ac:dyDescent="0.15">
      <c r="A861" s="6">
        <v>860</v>
      </c>
      <c r="B861" s="7" t="s">
        <v>9</v>
      </c>
      <c r="C861" s="8">
        <v>1883</v>
      </c>
      <c r="D861" s="9">
        <v>45395</v>
      </c>
      <c r="E861" s="13" t="str">
        <f>+HYPERLINK("http://trademark.i-assist.jp/data/china/image_1883th/76260066.pdf","76260066")</f>
        <v>76260066</v>
      </c>
      <c r="F861" s="7" t="s">
        <v>2339</v>
      </c>
      <c r="G861" s="7" t="s">
        <v>2340</v>
      </c>
      <c r="H861" s="7" t="s">
        <v>2341</v>
      </c>
      <c r="I861" s="9">
        <v>45299</v>
      </c>
    </row>
    <row r="862" spans="1:9" x14ac:dyDescent="0.15">
      <c r="A862" s="6">
        <v>861</v>
      </c>
      <c r="B862" s="7" t="s">
        <v>9</v>
      </c>
      <c r="C862" s="8">
        <v>1883</v>
      </c>
      <c r="D862" s="9">
        <v>45395</v>
      </c>
      <c r="E862" s="13" t="str">
        <f>+HYPERLINK("http://trademark.i-assist.jp/data/china/image_1883th/76260218.pdf","76260218")</f>
        <v>76260218</v>
      </c>
      <c r="F862" s="7" t="s">
        <v>2342</v>
      </c>
      <c r="G862" s="7" t="s">
        <v>2343</v>
      </c>
      <c r="H862" s="7" t="s">
        <v>2344</v>
      </c>
      <c r="I862" s="9">
        <v>45299</v>
      </c>
    </row>
    <row r="863" spans="1:9" x14ac:dyDescent="0.15">
      <c r="A863" s="6">
        <v>862</v>
      </c>
      <c r="B863" s="7" t="s">
        <v>9</v>
      </c>
      <c r="C863" s="8">
        <v>1883</v>
      </c>
      <c r="D863" s="9">
        <v>45395</v>
      </c>
      <c r="E863" s="13" t="str">
        <f>+HYPERLINK("http://trademark.i-assist.jp/data/china/image_1883th/76260295.pdf","76260295")</f>
        <v>76260295</v>
      </c>
      <c r="F863" s="7" t="s">
        <v>2345</v>
      </c>
      <c r="G863" s="7" t="s">
        <v>2346</v>
      </c>
      <c r="H863" s="7" t="s">
        <v>2347</v>
      </c>
      <c r="I863" s="9">
        <v>45299</v>
      </c>
    </row>
    <row r="864" spans="1:9" x14ac:dyDescent="0.15">
      <c r="A864" s="6">
        <v>863</v>
      </c>
      <c r="B864" s="7" t="s">
        <v>9</v>
      </c>
      <c r="C864" s="8">
        <v>1883</v>
      </c>
      <c r="D864" s="9">
        <v>45395</v>
      </c>
      <c r="E864" s="13" t="str">
        <f>+HYPERLINK("http://trademark.i-assist.jp/data/china/image_1883th/76260695.pdf","76260695")</f>
        <v>76260695</v>
      </c>
      <c r="F864" s="7" t="s">
        <v>2348</v>
      </c>
      <c r="G864" s="7" t="s">
        <v>2349</v>
      </c>
      <c r="H864" s="7" t="s">
        <v>2350</v>
      </c>
      <c r="I864" s="9">
        <v>45299</v>
      </c>
    </row>
    <row r="865" spans="1:9" x14ac:dyDescent="0.15">
      <c r="A865" s="6">
        <v>864</v>
      </c>
      <c r="B865" s="7" t="s">
        <v>9</v>
      </c>
      <c r="C865" s="8">
        <v>1883</v>
      </c>
      <c r="D865" s="9">
        <v>45395</v>
      </c>
      <c r="E865" s="13" t="str">
        <f>+HYPERLINK("http://trademark.i-assist.jp/data/china/image_1883th/76260865.pdf","76260865")</f>
        <v>76260865</v>
      </c>
      <c r="F865" s="7" t="s">
        <v>2351</v>
      </c>
      <c r="G865" s="7" t="s">
        <v>2186</v>
      </c>
      <c r="H865" s="7" t="s">
        <v>2352</v>
      </c>
      <c r="I865" s="9">
        <v>45299</v>
      </c>
    </row>
    <row r="866" spans="1:9" x14ac:dyDescent="0.15">
      <c r="A866" s="6">
        <v>865</v>
      </c>
      <c r="B866" s="7" t="s">
        <v>9</v>
      </c>
      <c r="C866" s="8">
        <v>1883</v>
      </c>
      <c r="D866" s="9">
        <v>45395</v>
      </c>
      <c r="E866" s="13" t="str">
        <f>+HYPERLINK("http://trademark.i-assist.jp/data/china/image_1883th/76261036.pdf","76261036")</f>
        <v>76261036</v>
      </c>
      <c r="F866" s="7" t="s">
        <v>2353</v>
      </c>
      <c r="G866" s="7" t="s">
        <v>2354</v>
      </c>
      <c r="H866" s="7" t="s">
        <v>2355</v>
      </c>
      <c r="I866" s="9">
        <v>45299</v>
      </c>
    </row>
    <row r="867" spans="1:9" x14ac:dyDescent="0.15">
      <c r="A867" s="6">
        <v>866</v>
      </c>
      <c r="B867" s="7" t="s">
        <v>9</v>
      </c>
      <c r="C867" s="8">
        <v>1883</v>
      </c>
      <c r="D867" s="9">
        <v>45395</v>
      </c>
      <c r="E867" s="13" t="str">
        <f>+HYPERLINK("http://trademark.i-assist.jp/data/china/image_1883th/76261615.pdf","76261615")</f>
        <v>76261615</v>
      </c>
      <c r="F867" s="7" t="s">
        <v>2356</v>
      </c>
      <c r="G867" s="7" t="s">
        <v>2357</v>
      </c>
      <c r="H867" s="7" t="s">
        <v>2358</v>
      </c>
      <c r="I867" s="9">
        <v>45299</v>
      </c>
    </row>
    <row r="868" spans="1:9" x14ac:dyDescent="0.15">
      <c r="A868" s="6">
        <v>867</v>
      </c>
      <c r="B868" s="7" t="s">
        <v>9</v>
      </c>
      <c r="C868" s="8">
        <v>1883</v>
      </c>
      <c r="D868" s="9">
        <v>45395</v>
      </c>
      <c r="E868" s="13" t="str">
        <f>+HYPERLINK("http://trademark.i-assist.jp/data/china/image_1883th/76262342.pdf","76262342")</f>
        <v>76262342</v>
      </c>
      <c r="F868" s="7" t="s">
        <v>2359</v>
      </c>
      <c r="G868" s="7" t="s">
        <v>2360</v>
      </c>
      <c r="H868" s="7" t="s">
        <v>2361</v>
      </c>
      <c r="I868" s="9">
        <v>45299</v>
      </c>
    </row>
    <row r="869" spans="1:9" x14ac:dyDescent="0.15">
      <c r="A869" s="6">
        <v>868</v>
      </c>
      <c r="B869" s="7" t="s">
        <v>9</v>
      </c>
      <c r="C869" s="8">
        <v>1883</v>
      </c>
      <c r="D869" s="9">
        <v>45395</v>
      </c>
      <c r="E869" s="13" t="str">
        <f>+HYPERLINK("http://trademark.i-assist.jp/data/china/image_1883th/76262423.pdf","76262423")</f>
        <v>76262423</v>
      </c>
      <c r="F869" s="7" t="s">
        <v>2362</v>
      </c>
      <c r="G869" s="7" t="s">
        <v>2363</v>
      </c>
      <c r="H869" s="7" t="s">
        <v>2364</v>
      </c>
      <c r="I869" s="9">
        <v>45299</v>
      </c>
    </row>
    <row r="870" spans="1:9" ht="27" x14ac:dyDescent="0.15">
      <c r="A870" s="6">
        <v>869</v>
      </c>
      <c r="B870" s="7" t="s">
        <v>9</v>
      </c>
      <c r="C870" s="8">
        <v>1883</v>
      </c>
      <c r="D870" s="9">
        <v>45395</v>
      </c>
      <c r="E870" s="13" t="str">
        <f>+HYPERLINK("http://trademark.i-assist.jp/data/china/image_1883th/76262454.pdf","76262454")</f>
        <v>76262454</v>
      </c>
      <c r="F870" s="7" t="s">
        <v>2365</v>
      </c>
      <c r="G870" s="7" t="s">
        <v>2366</v>
      </c>
      <c r="H870" s="7" t="s">
        <v>2367</v>
      </c>
      <c r="I870" s="9">
        <v>45299</v>
      </c>
    </row>
    <row r="871" spans="1:9" x14ac:dyDescent="0.15">
      <c r="A871" s="6">
        <v>870</v>
      </c>
      <c r="B871" s="7" t="s">
        <v>9</v>
      </c>
      <c r="C871" s="8">
        <v>1883</v>
      </c>
      <c r="D871" s="9">
        <v>45395</v>
      </c>
      <c r="E871" s="13" t="str">
        <f>+HYPERLINK("http://trademark.i-assist.jp/data/china/image_1883th/76262510.pdf","76262510")</f>
        <v>76262510</v>
      </c>
      <c r="F871" s="7" t="s">
        <v>2368</v>
      </c>
      <c r="G871" s="7" t="s">
        <v>2369</v>
      </c>
      <c r="H871" s="7" t="s">
        <v>2370</v>
      </c>
      <c r="I871" s="9">
        <v>45299</v>
      </c>
    </row>
    <row r="872" spans="1:9" x14ac:dyDescent="0.15">
      <c r="A872" s="6">
        <v>871</v>
      </c>
      <c r="B872" s="7" t="s">
        <v>9</v>
      </c>
      <c r="C872" s="8">
        <v>1883</v>
      </c>
      <c r="D872" s="9">
        <v>45395</v>
      </c>
      <c r="E872" s="13" t="str">
        <f>+HYPERLINK("http://trademark.i-assist.jp/data/china/image_1883th/76262972.pdf","76262972")</f>
        <v>76262972</v>
      </c>
      <c r="F872" s="7" t="s">
        <v>2371</v>
      </c>
      <c r="G872" s="7" t="s">
        <v>2372</v>
      </c>
      <c r="H872" s="7" t="s">
        <v>2373</v>
      </c>
      <c r="I872" s="9">
        <v>45299</v>
      </c>
    </row>
    <row r="873" spans="1:9" x14ac:dyDescent="0.15">
      <c r="A873" s="6">
        <v>872</v>
      </c>
      <c r="B873" s="7" t="s">
        <v>9</v>
      </c>
      <c r="C873" s="8">
        <v>1883</v>
      </c>
      <c r="D873" s="9">
        <v>45395</v>
      </c>
      <c r="E873" s="13" t="str">
        <f>+HYPERLINK("http://trademark.i-assist.jp/data/china/image_1883th/76263777.pdf","76263777")</f>
        <v>76263777</v>
      </c>
      <c r="F873" s="7" t="s">
        <v>2374</v>
      </c>
      <c r="G873" s="7" t="s">
        <v>2375</v>
      </c>
      <c r="H873" s="7" t="s">
        <v>2376</v>
      </c>
      <c r="I873" s="9">
        <v>45299</v>
      </c>
    </row>
    <row r="874" spans="1:9" ht="27" x14ac:dyDescent="0.15">
      <c r="A874" s="6">
        <v>873</v>
      </c>
      <c r="B874" s="7" t="s">
        <v>9</v>
      </c>
      <c r="C874" s="8">
        <v>1883</v>
      </c>
      <c r="D874" s="9">
        <v>45395</v>
      </c>
      <c r="E874" s="13" t="str">
        <f>+HYPERLINK("http://trademark.i-assist.jp/data/china/image_1883th/76264480.pdf","76264480")</f>
        <v>76264480</v>
      </c>
      <c r="F874" s="7" t="s">
        <v>2377</v>
      </c>
      <c r="G874" s="7" t="s">
        <v>2378</v>
      </c>
      <c r="H874" s="7" t="s">
        <v>2379</v>
      </c>
      <c r="I874" s="9">
        <v>45299</v>
      </c>
    </row>
    <row r="875" spans="1:9" x14ac:dyDescent="0.15">
      <c r="A875" s="6">
        <v>874</v>
      </c>
      <c r="B875" s="7" t="s">
        <v>9</v>
      </c>
      <c r="C875" s="8">
        <v>1883</v>
      </c>
      <c r="D875" s="9">
        <v>45395</v>
      </c>
      <c r="E875" s="13" t="str">
        <f>+HYPERLINK("http://trademark.i-assist.jp/data/china/image_1883th/76264591.pdf","76264591")</f>
        <v>76264591</v>
      </c>
      <c r="F875" s="7" t="s">
        <v>2380</v>
      </c>
      <c r="G875" s="7" t="s">
        <v>2381</v>
      </c>
      <c r="H875" s="7" t="s">
        <v>2382</v>
      </c>
      <c r="I875" s="9">
        <v>45299</v>
      </c>
    </row>
    <row r="876" spans="1:9" x14ac:dyDescent="0.15">
      <c r="A876" s="6">
        <v>875</v>
      </c>
      <c r="B876" s="7" t="s">
        <v>9</v>
      </c>
      <c r="C876" s="8">
        <v>1883</v>
      </c>
      <c r="D876" s="9">
        <v>45395</v>
      </c>
      <c r="E876" s="13" t="str">
        <f>+HYPERLINK("http://trademark.i-assist.jp/data/china/image_1883th/76264623.pdf","76264623")</f>
        <v>76264623</v>
      </c>
      <c r="F876" s="7" t="s">
        <v>2383</v>
      </c>
      <c r="G876" s="7" t="s">
        <v>540</v>
      </c>
      <c r="H876" s="7" t="s">
        <v>2384</v>
      </c>
      <c r="I876" s="9">
        <v>45299</v>
      </c>
    </row>
    <row r="877" spans="1:9" ht="27" x14ac:dyDescent="0.15">
      <c r="A877" s="6">
        <v>876</v>
      </c>
      <c r="B877" s="7" t="s">
        <v>9</v>
      </c>
      <c r="C877" s="8">
        <v>1883</v>
      </c>
      <c r="D877" s="9">
        <v>45395</v>
      </c>
      <c r="E877" s="13" t="str">
        <f>+HYPERLINK("http://trademark.i-assist.jp/data/china/image_1883th/76264927.pdf","76264927")</f>
        <v>76264927</v>
      </c>
      <c r="F877" s="7" t="s">
        <v>2385</v>
      </c>
      <c r="G877" s="7" t="s">
        <v>2386</v>
      </c>
      <c r="H877" s="7" t="s">
        <v>2387</v>
      </c>
      <c r="I877" s="9">
        <v>45299</v>
      </c>
    </row>
    <row r="878" spans="1:9" x14ac:dyDescent="0.15">
      <c r="A878" s="6">
        <v>877</v>
      </c>
      <c r="B878" s="7" t="s">
        <v>9</v>
      </c>
      <c r="C878" s="8">
        <v>1883</v>
      </c>
      <c r="D878" s="9">
        <v>45395</v>
      </c>
      <c r="E878" s="13" t="str">
        <f>+HYPERLINK("http://trademark.i-assist.jp/data/china/image_1883th/76265239.pdf","76265239")</f>
        <v>76265239</v>
      </c>
      <c r="F878" s="7" t="s">
        <v>2388</v>
      </c>
      <c r="G878" s="7" t="s">
        <v>2389</v>
      </c>
      <c r="H878" s="7" t="s">
        <v>2390</v>
      </c>
      <c r="I878" s="9">
        <v>45299</v>
      </c>
    </row>
    <row r="879" spans="1:9" x14ac:dyDescent="0.15">
      <c r="A879" s="6">
        <v>878</v>
      </c>
      <c r="B879" s="7" t="s">
        <v>9</v>
      </c>
      <c r="C879" s="8">
        <v>1883</v>
      </c>
      <c r="D879" s="9">
        <v>45395</v>
      </c>
      <c r="E879" s="13" t="str">
        <f>+HYPERLINK("http://trademark.i-assist.jp/data/china/image_1883th/76265291.pdf","76265291")</f>
        <v>76265291</v>
      </c>
      <c r="F879" s="7" t="s">
        <v>2391</v>
      </c>
      <c r="G879" s="7" t="s">
        <v>2392</v>
      </c>
      <c r="H879" s="7" t="s">
        <v>2393</v>
      </c>
      <c r="I879" s="9">
        <v>45299</v>
      </c>
    </row>
    <row r="880" spans="1:9" x14ac:dyDescent="0.15">
      <c r="A880" s="6">
        <v>879</v>
      </c>
      <c r="B880" s="7" t="s">
        <v>9</v>
      </c>
      <c r="C880" s="8">
        <v>1883</v>
      </c>
      <c r="D880" s="9">
        <v>45395</v>
      </c>
      <c r="E880" s="13" t="str">
        <f>+HYPERLINK("http://trademark.i-assist.jp/data/china/image_1883th/76265450.pdf","76265450")</f>
        <v>76265450</v>
      </c>
      <c r="F880" s="7" t="s">
        <v>2394</v>
      </c>
      <c r="G880" s="7" t="s">
        <v>2395</v>
      </c>
      <c r="H880" s="7" t="s">
        <v>2396</v>
      </c>
      <c r="I880" s="9">
        <v>45299</v>
      </c>
    </row>
    <row r="881" spans="1:9" x14ac:dyDescent="0.15">
      <c r="A881" s="6">
        <v>880</v>
      </c>
      <c r="B881" s="7" t="s">
        <v>9</v>
      </c>
      <c r="C881" s="8">
        <v>1883</v>
      </c>
      <c r="D881" s="9">
        <v>45395</v>
      </c>
      <c r="E881" s="13" t="str">
        <f>+HYPERLINK("http://trademark.i-assist.jp/data/china/image_1883th/76265643.pdf","76265643")</f>
        <v>76265643</v>
      </c>
      <c r="F881" s="7" t="s">
        <v>2397</v>
      </c>
      <c r="G881" s="7" t="s">
        <v>1592</v>
      </c>
      <c r="H881" s="7" t="s">
        <v>2398</v>
      </c>
      <c r="I881" s="9">
        <v>45299</v>
      </c>
    </row>
    <row r="882" spans="1:9" x14ac:dyDescent="0.15">
      <c r="A882" s="6">
        <v>881</v>
      </c>
      <c r="B882" s="7" t="s">
        <v>9</v>
      </c>
      <c r="C882" s="8">
        <v>1883</v>
      </c>
      <c r="D882" s="9">
        <v>45395</v>
      </c>
      <c r="E882" s="13" t="str">
        <f>+HYPERLINK("http://trademark.i-assist.jp/data/china/image_1883th/76265690.pdf","76265690")</f>
        <v>76265690</v>
      </c>
      <c r="F882" s="7" t="s">
        <v>2399</v>
      </c>
      <c r="G882" s="7" t="s">
        <v>2134</v>
      </c>
      <c r="H882" s="7" t="s">
        <v>2400</v>
      </c>
      <c r="I882" s="9">
        <v>45299</v>
      </c>
    </row>
    <row r="883" spans="1:9" ht="27" x14ac:dyDescent="0.15">
      <c r="A883" s="6">
        <v>882</v>
      </c>
      <c r="B883" s="7" t="s">
        <v>9</v>
      </c>
      <c r="C883" s="8">
        <v>1883</v>
      </c>
      <c r="D883" s="9">
        <v>45395</v>
      </c>
      <c r="E883" s="13" t="str">
        <f>+HYPERLINK("http://trademark.i-assist.jp/data/china/image_1883th/76265823.pdf","76265823")</f>
        <v>76265823</v>
      </c>
      <c r="F883" s="7" t="s">
        <v>2401</v>
      </c>
      <c r="G883" s="7" t="s">
        <v>2402</v>
      </c>
      <c r="H883" s="7" t="s">
        <v>2403</v>
      </c>
      <c r="I883" s="9">
        <v>45299</v>
      </c>
    </row>
    <row r="884" spans="1:9" x14ac:dyDescent="0.15">
      <c r="A884" s="6">
        <v>883</v>
      </c>
      <c r="B884" s="7" t="s">
        <v>9</v>
      </c>
      <c r="C884" s="8">
        <v>1883</v>
      </c>
      <c r="D884" s="9">
        <v>45395</v>
      </c>
      <c r="E884" s="13" t="str">
        <f>+HYPERLINK("http://trademark.i-assist.jp/data/china/image_1883th/76265863.pdf","76265863")</f>
        <v>76265863</v>
      </c>
      <c r="F884" s="7" t="s">
        <v>2404</v>
      </c>
      <c r="G884" s="7" t="s">
        <v>2405</v>
      </c>
      <c r="H884" s="7" t="s">
        <v>2406</v>
      </c>
      <c r="I884" s="9">
        <v>45299</v>
      </c>
    </row>
    <row r="885" spans="1:9" x14ac:dyDescent="0.15">
      <c r="A885" s="6">
        <v>884</v>
      </c>
      <c r="B885" s="7" t="s">
        <v>9</v>
      </c>
      <c r="C885" s="8">
        <v>1883</v>
      </c>
      <c r="D885" s="9">
        <v>45395</v>
      </c>
      <c r="E885" s="13" t="str">
        <f>+HYPERLINK("http://trademark.i-assist.jp/data/china/image_1883th/76265898.pdf","76265898")</f>
        <v>76265898</v>
      </c>
      <c r="F885" s="7" t="s">
        <v>2407</v>
      </c>
      <c r="G885" s="7" t="s">
        <v>2298</v>
      </c>
      <c r="H885" s="7" t="s">
        <v>2408</v>
      </c>
      <c r="I885" s="9">
        <v>45299</v>
      </c>
    </row>
    <row r="886" spans="1:9" x14ac:dyDescent="0.15">
      <c r="A886" s="6">
        <v>885</v>
      </c>
      <c r="B886" s="7" t="s">
        <v>9</v>
      </c>
      <c r="C886" s="8">
        <v>1883</v>
      </c>
      <c r="D886" s="9">
        <v>45395</v>
      </c>
      <c r="E886" s="13" t="str">
        <f>+HYPERLINK("http://trademark.i-assist.jp/data/china/image_1883th/76265933.pdf","76265933")</f>
        <v>76265933</v>
      </c>
      <c r="F886" s="7" t="s">
        <v>2409</v>
      </c>
      <c r="G886" s="7" t="s">
        <v>2410</v>
      </c>
      <c r="H886" s="7" t="s">
        <v>2411</v>
      </c>
      <c r="I886" s="9">
        <v>45299</v>
      </c>
    </row>
    <row r="887" spans="1:9" x14ac:dyDescent="0.15">
      <c r="A887" s="6">
        <v>886</v>
      </c>
      <c r="B887" s="7" t="s">
        <v>9</v>
      </c>
      <c r="C887" s="8">
        <v>1883</v>
      </c>
      <c r="D887" s="9">
        <v>45395</v>
      </c>
      <c r="E887" s="13" t="str">
        <f>+HYPERLINK("http://trademark.i-assist.jp/data/china/image_1883th/76265969.pdf","76265969")</f>
        <v>76265969</v>
      </c>
      <c r="F887" s="7" t="s">
        <v>2412</v>
      </c>
      <c r="G887" s="7" t="s">
        <v>2413</v>
      </c>
      <c r="H887" s="7" t="s">
        <v>2414</v>
      </c>
      <c r="I887" s="9">
        <v>45299</v>
      </c>
    </row>
    <row r="888" spans="1:9" x14ac:dyDescent="0.15">
      <c r="A888" s="6">
        <v>887</v>
      </c>
      <c r="B888" s="7" t="s">
        <v>9</v>
      </c>
      <c r="C888" s="8">
        <v>1883</v>
      </c>
      <c r="D888" s="9">
        <v>45395</v>
      </c>
      <c r="E888" s="13" t="str">
        <f>+HYPERLINK("http://trademark.i-assist.jp/data/china/image_1883th/76266006.pdf","76266006")</f>
        <v>76266006</v>
      </c>
      <c r="F888" s="7" t="s">
        <v>2415</v>
      </c>
      <c r="G888" s="7" t="s">
        <v>2416</v>
      </c>
      <c r="H888" s="7" t="s">
        <v>2417</v>
      </c>
      <c r="I888" s="9">
        <v>45299</v>
      </c>
    </row>
    <row r="889" spans="1:9" x14ac:dyDescent="0.15">
      <c r="A889" s="6">
        <v>888</v>
      </c>
      <c r="B889" s="7" t="s">
        <v>9</v>
      </c>
      <c r="C889" s="8">
        <v>1883</v>
      </c>
      <c r="D889" s="9">
        <v>45395</v>
      </c>
      <c r="E889" s="13" t="str">
        <f>+HYPERLINK("http://trademark.i-assist.jp/data/china/image_1883th/76266039.pdf","76266039")</f>
        <v>76266039</v>
      </c>
      <c r="F889" s="7" t="s">
        <v>2418</v>
      </c>
      <c r="G889" s="7" t="s">
        <v>2419</v>
      </c>
      <c r="H889" s="7" t="s">
        <v>2420</v>
      </c>
      <c r="I889" s="9">
        <v>45299</v>
      </c>
    </row>
    <row r="890" spans="1:9" ht="27" x14ac:dyDescent="0.15">
      <c r="A890" s="6">
        <v>889</v>
      </c>
      <c r="B890" s="7" t="s">
        <v>9</v>
      </c>
      <c r="C890" s="8">
        <v>1883</v>
      </c>
      <c r="D890" s="9">
        <v>45395</v>
      </c>
      <c r="E890" s="13" t="str">
        <f>+HYPERLINK("http://trademark.i-assist.jp/data/china/image_1883th/76266040.pdf","76266040")</f>
        <v>76266040</v>
      </c>
      <c r="F890" s="7" t="s">
        <v>2421</v>
      </c>
      <c r="G890" s="7" t="s">
        <v>2125</v>
      </c>
      <c r="H890" s="7" t="s">
        <v>2422</v>
      </c>
      <c r="I890" s="9">
        <v>45299</v>
      </c>
    </row>
    <row r="891" spans="1:9" x14ac:dyDescent="0.15">
      <c r="A891" s="6">
        <v>890</v>
      </c>
      <c r="B891" s="7" t="s">
        <v>9</v>
      </c>
      <c r="C891" s="8">
        <v>1883</v>
      </c>
      <c r="D891" s="9">
        <v>45395</v>
      </c>
      <c r="E891" s="13" t="str">
        <f>+HYPERLINK("http://trademark.i-assist.jp/data/china/image_1883th/76267011.pdf","76267011")</f>
        <v>76267011</v>
      </c>
      <c r="F891" s="7" t="s">
        <v>2423</v>
      </c>
      <c r="G891" s="7" t="s">
        <v>2424</v>
      </c>
      <c r="H891" s="7" t="s">
        <v>2425</v>
      </c>
      <c r="I891" s="9">
        <v>45299</v>
      </c>
    </row>
    <row r="892" spans="1:9" ht="27" x14ac:dyDescent="0.15">
      <c r="A892" s="6">
        <v>891</v>
      </c>
      <c r="B892" s="7" t="s">
        <v>9</v>
      </c>
      <c r="C892" s="8">
        <v>1883</v>
      </c>
      <c r="D892" s="9">
        <v>45395</v>
      </c>
      <c r="E892" s="13" t="str">
        <f>+HYPERLINK("http://trademark.i-assist.jp/data/china/image_1883th/76267434.pdf","76267434")</f>
        <v>76267434</v>
      </c>
      <c r="F892" s="7" t="s">
        <v>2426</v>
      </c>
      <c r="G892" s="7" t="s">
        <v>2427</v>
      </c>
      <c r="H892" s="7" t="s">
        <v>2428</v>
      </c>
      <c r="I892" s="9">
        <v>45300</v>
      </c>
    </row>
    <row r="893" spans="1:9" x14ac:dyDescent="0.15">
      <c r="A893" s="6">
        <v>892</v>
      </c>
      <c r="B893" s="7" t="s">
        <v>9</v>
      </c>
      <c r="C893" s="8">
        <v>1883</v>
      </c>
      <c r="D893" s="9">
        <v>45395</v>
      </c>
      <c r="E893" s="13" t="str">
        <f>+HYPERLINK("http://trademark.i-assist.jp/data/china/image_1883th/76267549.pdf","76267549")</f>
        <v>76267549</v>
      </c>
      <c r="F893" s="7" t="s">
        <v>2429</v>
      </c>
      <c r="G893" s="7" t="s">
        <v>2430</v>
      </c>
      <c r="H893" s="7" t="s">
        <v>2431</v>
      </c>
      <c r="I893" s="9">
        <v>45300</v>
      </c>
    </row>
    <row r="894" spans="1:9" x14ac:dyDescent="0.15">
      <c r="A894" s="6">
        <v>893</v>
      </c>
      <c r="B894" s="7" t="s">
        <v>9</v>
      </c>
      <c r="C894" s="8">
        <v>1883</v>
      </c>
      <c r="D894" s="9">
        <v>45395</v>
      </c>
      <c r="E894" s="13" t="str">
        <f>+HYPERLINK("http://trademark.i-assist.jp/data/china/image_1883th/76267648.pdf","76267648")</f>
        <v>76267648</v>
      </c>
      <c r="F894" s="7" t="s">
        <v>2432</v>
      </c>
      <c r="G894" s="7" t="s">
        <v>2433</v>
      </c>
      <c r="H894" s="7" t="s">
        <v>2434</v>
      </c>
      <c r="I894" s="9">
        <v>45300</v>
      </c>
    </row>
    <row r="895" spans="1:9" x14ac:dyDescent="0.15">
      <c r="A895" s="6">
        <v>894</v>
      </c>
      <c r="B895" s="7" t="s">
        <v>9</v>
      </c>
      <c r="C895" s="8">
        <v>1883</v>
      </c>
      <c r="D895" s="9">
        <v>45395</v>
      </c>
      <c r="E895" s="13" t="str">
        <f>+HYPERLINK("http://trademark.i-assist.jp/data/china/image_1883th/76267670.pdf","76267670")</f>
        <v>76267670</v>
      </c>
      <c r="F895" s="7" t="s">
        <v>2435</v>
      </c>
      <c r="G895" s="7" t="s">
        <v>2436</v>
      </c>
      <c r="H895" s="7" t="s">
        <v>2437</v>
      </c>
      <c r="I895" s="9">
        <v>45300</v>
      </c>
    </row>
    <row r="896" spans="1:9" x14ac:dyDescent="0.15">
      <c r="A896" s="6">
        <v>895</v>
      </c>
      <c r="B896" s="7" t="s">
        <v>9</v>
      </c>
      <c r="C896" s="8">
        <v>1883</v>
      </c>
      <c r="D896" s="9">
        <v>45395</v>
      </c>
      <c r="E896" s="13" t="str">
        <f>+HYPERLINK("http://trademark.i-assist.jp/data/china/image_1883th/76267951.pdf","76267951")</f>
        <v>76267951</v>
      </c>
      <c r="F896" s="7" t="s">
        <v>2438</v>
      </c>
      <c r="G896" s="7" t="s">
        <v>2439</v>
      </c>
      <c r="H896" s="7" t="s">
        <v>2440</v>
      </c>
      <c r="I896" s="9">
        <v>45300</v>
      </c>
    </row>
    <row r="897" spans="1:9" x14ac:dyDescent="0.15">
      <c r="A897" s="6">
        <v>896</v>
      </c>
      <c r="B897" s="7" t="s">
        <v>9</v>
      </c>
      <c r="C897" s="8">
        <v>1883</v>
      </c>
      <c r="D897" s="9">
        <v>45395</v>
      </c>
      <c r="E897" s="13" t="str">
        <f>+HYPERLINK("http://trademark.i-assist.jp/data/china/image_1883th/76268447.pdf","76268447")</f>
        <v>76268447</v>
      </c>
      <c r="F897" s="7" t="s">
        <v>2441</v>
      </c>
      <c r="G897" s="7" t="s">
        <v>2442</v>
      </c>
      <c r="H897" s="7" t="s">
        <v>2443</v>
      </c>
      <c r="I897" s="9">
        <v>45300</v>
      </c>
    </row>
    <row r="898" spans="1:9" x14ac:dyDescent="0.15">
      <c r="A898" s="6">
        <v>897</v>
      </c>
      <c r="B898" s="7" t="s">
        <v>9</v>
      </c>
      <c r="C898" s="8">
        <v>1883</v>
      </c>
      <c r="D898" s="9">
        <v>45395</v>
      </c>
      <c r="E898" s="13" t="str">
        <f>+HYPERLINK("http://trademark.i-assist.jp/data/china/image_1883th/76268487.pdf","76268487")</f>
        <v>76268487</v>
      </c>
      <c r="F898" s="7" t="s">
        <v>2444</v>
      </c>
      <c r="G898" s="7" t="s">
        <v>2445</v>
      </c>
      <c r="H898" s="7" t="s">
        <v>2446</v>
      </c>
      <c r="I898" s="9">
        <v>45300</v>
      </c>
    </row>
    <row r="899" spans="1:9" ht="27" x14ac:dyDescent="0.15">
      <c r="A899" s="6">
        <v>898</v>
      </c>
      <c r="B899" s="7" t="s">
        <v>9</v>
      </c>
      <c r="C899" s="8">
        <v>1883</v>
      </c>
      <c r="D899" s="9">
        <v>45395</v>
      </c>
      <c r="E899" s="13" t="str">
        <f>+HYPERLINK("http://trademark.i-assist.jp/data/china/image_1883th/76268887.pdf","76268887")</f>
        <v>76268887</v>
      </c>
      <c r="F899" s="7" t="s">
        <v>2447</v>
      </c>
      <c r="G899" s="7" t="s">
        <v>2448</v>
      </c>
      <c r="H899" s="7" t="s">
        <v>2449</v>
      </c>
      <c r="I899" s="9">
        <v>45300</v>
      </c>
    </row>
    <row r="900" spans="1:9" x14ac:dyDescent="0.15">
      <c r="A900" s="6">
        <v>899</v>
      </c>
      <c r="B900" s="7" t="s">
        <v>9</v>
      </c>
      <c r="C900" s="8">
        <v>1883</v>
      </c>
      <c r="D900" s="9">
        <v>45395</v>
      </c>
      <c r="E900" s="13" t="str">
        <f>+HYPERLINK("http://trademark.i-assist.jp/data/china/image_1883th/76269594.pdf","76269594")</f>
        <v>76269594</v>
      </c>
      <c r="F900" s="7" t="s">
        <v>2450</v>
      </c>
      <c r="G900" s="7" t="s">
        <v>2451</v>
      </c>
      <c r="H900" s="7" t="s">
        <v>2452</v>
      </c>
      <c r="I900" s="9">
        <v>45300</v>
      </c>
    </row>
    <row r="901" spans="1:9" ht="27" x14ac:dyDescent="0.15">
      <c r="A901" s="6">
        <v>900</v>
      </c>
      <c r="B901" s="7" t="s">
        <v>9</v>
      </c>
      <c r="C901" s="8">
        <v>1883</v>
      </c>
      <c r="D901" s="9">
        <v>45395</v>
      </c>
      <c r="E901" s="13" t="str">
        <f>+HYPERLINK("http://trademark.i-assist.jp/data/china/image_1883th/76269871.pdf","76269871")</f>
        <v>76269871</v>
      </c>
      <c r="F901" s="7" t="s">
        <v>2453</v>
      </c>
      <c r="G901" s="7" t="s">
        <v>2454</v>
      </c>
      <c r="H901" s="7" t="s">
        <v>2455</v>
      </c>
      <c r="I901" s="9">
        <v>45300</v>
      </c>
    </row>
    <row r="902" spans="1:9" x14ac:dyDescent="0.15">
      <c r="A902" s="6">
        <v>901</v>
      </c>
      <c r="B902" s="7" t="s">
        <v>9</v>
      </c>
      <c r="C902" s="8">
        <v>1883</v>
      </c>
      <c r="D902" s="9">
        <v>45395</v>
      </c>
      <c r="E902" s="13" t="str">
        <f>+HYPERLINK("http://trademark.i-assist.jp/data/china/image_1883th/76270263.pdf","76270263")</f>
        <v>76270263</v>
      </c>
      <c r="F902" s="7" t="s">
        <v>2456</v>
      </c>
      <c r="G902" s="7" t="s">
        <v>2457</v>
      </c>
      <c r="H902" s="7" t="s">
        <v>2458</v>
      </c>
      <c r="I902" s="9">
        <v>45300</v>
      </c>
    </row>
    <row r="903" spans="1:9" ht="27" x14ac:dyDescent="0.15">
      <c r="A903" s="6">
        <v>902</v>
      </c>
      <c r="B903" s="7" t="s">
        <v>9</v>
      </c>
      <c r="C903" s="8">
        <v>1883</v>
      </c>
      <c r="D903" s="9">
        <v>45395</v>
      </c>
      <c r="E903" s="13" t="str">
        <f>+HYPERLINK("http://trademark.i-assist.jp/data/china/image_1883th/76270322.pdf","76270322")</f>
        <v>76270322</v>
      </c>
      <c r="F903" s="7" t="s">
        <v>2459</v>
      </c>
      <c r="G903" s="7" t="s">
        <v>2460</v>
      </c>
      <c r="H903" s="7" t="s">
        <v>2461</v>
      </c>
      <c r="I903" s="9">
        <v>45300</v>
      </c>
    </row>
    <row r="904" spans="1:9" x14ac:dyDescent="0.15">
      <c r="A904" s="6">
        <v>903</v>
      </c>
      <c r="B904" s="7" t="s">
        <v>9</v>
      </c>
      <c r="C904" s="8">
        <v>1883</v>
      </c>
      <c r="D904" s="9">
        <v>45395</v>
      </c>
      <c r="E904" s="13" t="str">
        <f>+HYPERLINK("http://trademark.i-assist.jp/data/china/image_1883th/76270581.pdf","76270581")</f>
        <v>76270581</v>
      </c>
      <c r="F904" s="7" t="s">
        <v>2462</v>
      </c>
      <c r="G904" s="7" t="s">
        <v>2463</v>
      </c>
      <c r="H904" s="7" t="s">
        <v>2464</v>
      </c>
      <c r="I904" s="9">
        <v>45300</v>
      </c>
    </row>
    <row r="905" spans="1:9" x14ac:dyDescent="0.15">
      <c r="A905" s="6">
        <v>904</v>
      </c>
      <c r="B905" s="7" t="s">
        <v>9</v>
      </c>
      <c r="C905" s="8">
        <v>1883</v>
      </c>
      <c r="D905" s="9">
        <v>45395</v>
      </c>
      <c r="E905" s="13" t="str">
        <f>+HYPERLINK("http://trademark.i-assist.jp/data/china/image_1883th/76270841.pdf","76270841")</f>
        <v>76270841</v>
      </c>
      <c r="F905" s="7" t="s">
        <v>2465</v>
      </c>
      <c r="G905" s="7" t="s">
        <v>2466</v>
      </c>
      <c r="H905" s="7" t="s">
        <v>2467</v>
      </c>
      <c r="I905" s="9">
        <v>45300</v>
      </c>
    </row>
    <row r="906" spans="1:9" x14ac:dyDescent="0.15">
      <c r="A906" s="6">
        <v>905</v>
      </c>
      <c r="B906" s="7" t="s">
        <v>9</v>
      </c>
      <c r="C906" s="8">
        <v>1883</v>
      </c>
      <c r="D906" s="9">
        <v>45395</v>
      </c>
      <c r="E906" s="13" t="str">
        <f>+HYPERLINK("http://trademark.i-assist.jp/data/china/image_1883th/76270949.pdf","76270949")</f>
        <v>76270949</v>
      </c>
      <c r="F906" s="7" t="s">
        <v>2468</v>
      </c>
      <c r="G906" s="7" t="s">
        <v>2469</v>
      </c>
      <c r="H906" s="7" t="s">
        <v>2470</v>
      </c>
      <c r="I906" s="9">
        <v>45300</v>
      </c>
    </row>
    <row r="907" spans="1:9" x14ac:dyDescent="0.15">
      <c r="A907" s="6">
        <v>906</v>
      </c>
      <c r="B907" s="7" t="s">
        <v>9</v>
      </c>
      <c r="C907" s="8">
        <v>1883</v>
      </c>
      <c r="D907" s="9">
        <v>45395</v>
      </c>
      <c r="E907" s="13" t="str">
        <f>+HYPERLINK("http://trademark.i-assist.jp/data/china/image_1883th/76271155.pdf","76271155")</f>
        <v>76271155</v>
      </c>
      <c r="F907" s="7" t="s">
        <v>2471</v>
      </c>
      <c r="G907" s="7" t="s">
        <v>2472</v>
      </c>
      <c r="H907" s="7" t="s">
        <v>2473</v>
      </c>
      <c r="I907" s="9">
        <v>45300</v>
      </c>
    </row>
    <row r="908" spans="1:9" x14ac:dyDescent="0.15">
      <c r="A908" s="6">
        <v>907</v>
      </c>
      <c r="B908" s="7" t="s">
        <v>9</v>
      </c>
      <c r="C908" s="8">
        <v>1883</v>
      </c>
      <c r="D908" s="9">
        <v>45395</v>
      </c>
      <c r="E908" s="13" t="str">
        <f>+HYPERLINK("http://trademark.i-assist.jp/data/china/image_1883th/76271301.pdf","76271301")</f>
        <v>76271301</v>
      </c>
      <c r="F908" s="7" t="s">
        <v>2474</v>
      </c>
      <c r="G908" s="7" t="s">
        <v>2475</v>
      </c>
      <c r="H908" s="7" t="s">
        <v>2476</v>
      </c>
      <c r="I908" s="9">
        <v>45300</v>
      </c>
    </row>
    <row r="909" spans="1:9" x14ac:dyDescent="0.15">
      <c r="A909" s="6">
        <v>908</v>
      </c>
      <c r="B909" s="7" t="s">
        <v>9</v>
      </c>
      <c r="C909" s="8">
        <v>1883</v>
      </c>
      <c r="D909" s="9">
        <v>45395</v>
      </c>
      <c r="E909" s="13" t="str">
        <f>+HYPERLINK("http://trademark.i-assist.jp/data/china/image_1883th/76271657.pdf","76271657")</f>
        <v>76271657</v>
      </c>
      <c r="F909" s="7" t="s">
        <v>2477</v>
      </c>
      <c r="G909" s="7" t="s">
        <v>2478</v>
      </c>
      <c r="H909" s="7" t="s">
        <v>2479</v>
      </c>
      <c r="I909" s="9">
        <v>45300</v>
      </c>
    </row>
    <row r="910" spans="1:9" ht="27" x14ac:dyDescent="0.15">
      <c r="A910" s="6">
        <v>909</v>
      </c>
      <c r="B910" s="7" t="s">
        <v>9</v>
      </c>
      <c r="C910" s="8">
        <v>1883</v>
      </c>
      <c r="D910" s="9">
        <v>45395</v>
      </c>
      <c r="E910" s="13" t="str">
        <f>+HYPERLINK("http://trademark.i-assist.jp/data/china/image_1883th/76271747.pdf","76271747")</f>
        <v>76271747</v>
      </c>
      <c r="F910" s="7" t="s">
        <v>2480</v>
      </c>
      <c r="G910" s="7" t="s">
        <v>2481</v>
      </c>
      <c r="H910" s="7" t="s">
        <v>2482</v>
      </c>
      <c r="I910" s="9">
        <v>45300</v>
      </c>
    </row>
    <row r="911" spans="1:9" x14ac:dyDescent="0.15">
      <c r="A911" s="6">
        <v>910</v>
      </c>
      <c r="B911" s="7" t="s">
        <v>9</v>
      </c>
      <c r="C911" s="8">
        <v>1883</v>
      </c>
      <c r="D911" s="9">
        <v>45395</v>
      </c>
      <c r="E911" s="13" t="str">
        <f>+HYPERLINK("http://trademark.i-assist.jp/data/china/image_1883th/76271773.pdf","76271773")</f>
        <v>76271773</v>
      </c>
      <c r="F911" s="7" t="s">
        <v>2483</v>
      </c>
      <c r="G911" s="7" t="s">
        <v>2484</v>
      </c>
      <c r="H911" s="7" t="s">
        <v>2485</v>
      </c>
      <c r="I911" s="9">
        <v>45300</v>
      </c>
    </row>
    <row r="912" spans="1:9" x14ac:dyDescent="0.15">
      <c r="A912" s="6">
        <v>911</v>
      </c>
      <c r="B912" s="7" t="s">
        <v>9</v>
      </c>
      <c r="C912" s="8">
        <v>1883</v>
      </c>
      <c r="D912" s="9">
        <v>45395</v>
      </c>
      <c r="E912" s="13" t="str">
        <f>+HYPERLINK("http://trademark.i-assist.jp/data/china/image_1883th/76271783.pdf","76271783")</f>
        <v>76271783</v>
      </c>
      <c r="F912" s="7" t="s">
        <v>2486</v>
      </c>
      <c r="G912" s="7" t="s">
        <v>2487</v>
      </c>
      <c r="H912" s="7" t="s">
        <v>2488</v>
      </c>
      <c r="I912" s="9">
        <v>45300</v>
      </c>
    </row>
    <row r="913" spans="1:9" ht="27" x14ac:dyDescent="0.15">
      <c r="A913" s="6">
        <v>912</v>
      </c>
      <c r="B913" s="7" t="s">
        <v>9</v>
      </c>
      <c r="C913" s="8">
        <v>1883</v>
      </c>
      <c r="D913" s="9">
        <v>45395</v>
      </c>
      <c r="E913" s="13" t="str">
        <f>+HYPERLINK("http://trademark.i-assist.jp/data/china/image_1883th/76272008.pdf","76272008")</f>
        <v>76272008</v>
      </c>
      <c r="F913" s="7" t="s">
        <v>2489</v>
      </c>
      <c r="G913" s="7" t="s">
        <v>2490</v>
      </c>
      <c r="H913" s="7" t="s">
        <v>2491</v>
      </c>
      <c r="I913" s="9">
        <v>45300</v>
      </c>
    </row>
    <row r="914" spans="1:9" x14ac:dyDescent="0.15">
      <c r="A914" s="6">
        <v>913</v>
      </c>
      <c r="B914" s="7" t="s">
        <v>9</v>
      </c>
      <c r="C914" s="8">
        <v>1883</v>
      </c>
      <c r="D914" s="9">
        <v>45395</v>
      </c>
      <c r="E914" s="13" t="str">
        <f>+HYPERLINK("http://trademark.i-assist.jp/data/china/image_1883th/76272948.pdf","76272948")</f>
        <v>76272948</v>
      </c>
      <c r="F914" s="7" t="s">
        <v>846</v>
      </c>
      <c r="G914" s="7" t="s">
        <v>847</v>
      </c>
      <c r="H914" s="7" t="s">
        <v>2492</v>
      </c>
      <c r="I914" s="9">
        <v>45300</v>
      </c>
    </row>
    <row r="915" spans="1:9" ht="27" x14ac:dyDescent="0.15">
      <c r="A915" s="6">
        <v>914</v>
      </c>
      <c r="B915" s="7" t="s">
        <v>9</v>
      </c>
      <c r="C915" s="8">
        <v>1883</v>
      </c>
      <c r="D915" s="9">
        <v>45395</v>
      </c>
      <c r="E915" s="13" t="str">
        <f>+HYPERLINK("http://trademark.i-assist.jp/data/china/image_1883th/76273262.pdf","76273262")</f>
        <v>76273262</v>
      </c>
      <c r="F915" s="7" t="s">
        <v>2493</v>
      </c>
      <c r="G915" s="7" t="s">
        <v>2494</v>
      </c>
      <c r="H915" s="7" t="s">
        <v>2495</v>
      </c>
      <c r="I915" s="9">
        <v>45300</v>
      </c>
    </row>
    <row r="916" spans="1:9" x14ac:dyDescent="0.15">
      <c r="A916" s="6">
        <v>915</v>
      </c>
      <c r="B916" s="7" t="s">
        <v>9</v>
      </c>
      <c r="C916" s="8">
        <v>1883</v>
      </c>
      <c r="D916" s="9">
        <v>45395</v>
      </c>
      <c r="E916" s="13" t="str">
        <f>+HYPERLINK("http://trademark.i-assist.jp/data/china/image_1883th/76274038.pdf","76274038")</f>
        <v>76274038</v>
      </c>
      <c r="F916" s="7" t="s">
        <v>2496</v>
      </c>
      <c r="G916" s="7" t="s">
        <v>2497</v>
      </c>
      <c r="H916" s="7" t="s">
        <v>2498</v>
      </c>
      <c r="I916" s="9">
        <v>45300</v>
      </c>
    </row>
    <row r="917" spans="1:9" x14ac:dyDescent="0.15">
      <c r="A917" s="6">
        <v>916</v>
      </c>
      <c r="B917" s="7" t="s">
        <v>9</v>
      </c>
      <c r="C917" s="8">
        <v>1883</v>
      </c>
      <c r="D917" s="9">
        <v>45395</v>
      </c>
      <c r="E917" s="13" t="str">
        <f>+HYPERLINK("http://trademark.i-assist.jp/data/china/image_1883th/76274903.pdf","76274903")</f>
        <v>76274903</v>
      </c>
      <c r="F917" s="7" t="s">
        <v>2499</v>
      </c>
      <c r="G917" s="7" t="s">
        <v>2500</v>
      </c>
      <c r="H917" s="7" t="s">
        <v>2501</v>
      </c>
      <c r="I917" s="9">
        <v>45300</v>
      </c>
    </row>
    <row r="918" spans="1:9" x14ac:dyDescent="0.15">
      <c r="A918" s="6">
        <v>917</v>
      </c>
      <c r="B918" s="7" t="s">
        <v>9</v>
      </c>
      <c r="C918" s="8">
        <v>1883</v>
      </c>
      <c r="D918" s="9">
        <v>45395</v>
      </c>
      <c r="E918" s="13" t="str">
        <f>+HYPERLINK("http://trademark.i-assist.jp/data/china/image_1883th/76275440.pdf","76275440")</f>
        <v>76275440</v>
      </c>
      <c r="F918" s="7" t="s">
        <v>2502</v>
      </c>
      <c r="G918" s="7" t="s">
        <v>2503</v>
      </c>
      <c r="H918" s="7" t="s">
        <v>2504</v>
      </c>
      <c r="I918" s="9">
        <v>45300</v>
      </c>
    </row>
    <row r="919" spans="1:9" x14ac:dyDescent="0.15">
      <c r="A919" s="6">
        <v>918</v>
      </c>
      <c r="B919" s="7" t="s">
        <v>9</v>
      </c>
      <c r="C919" s="8">
        <v>1883</v>
      </c>
      <c r="D919" s="9">
        <v>45395</v>
      </c>
      <c r="E919" s="13" t="str">
        <f>+HYPERLINK("http://trademark.i-assist.jp/data/china/image_1883th/76276204.pdf","76276204")</f>
        <v>76276204</v>
      </c>
      <c r="F919" s="7" t="s">
        <v>2505</v>
      </c>
      <c r="G919" s="7" t="s">
        <v>2506</v>
      </c>
      <c r="H919" s="7" t="s">
        <v>2507</v>
      </c>
      <c r="I919" s="9">
        <v>45300</v>
      </c>
    </row>
    <row r="920" spans="1:9" x14ac:dyDescent="0.15">
      <c r="A920" s="6">
        <v>919</v>
      </c>
      <c r="B920" s="7" t="s">
        <v>9</v>
      </c>
      <c r="C920" s="8">
        <v>1883</v>
      </c>
      <c r="D920" s="9">
        <v>45395</v>
      </c>
      <c r="E920" s="13" t="str">
        <f>+HYPERLINK("http://trademark.i-assist.jp/data/china/image_1883th/76276319.pdf","76276319")</f>
        <v>76276319</v>
      </c>
      <c r="F920" s="7" t="s">
        <v>2508</v>
      </c>
      <c r="G920" s="7" t="s">
        <v>2509</v>
      </c>
      <c r="H920" s="7" t="s">
        <v>2510</v>
      </c>
      <c r="I920" s="9">
        <v>45300</v>
      </c>
    </row>
    <row r="921" spans="1:9" x14ac:dyDescent="0.15">
      <c r="A921" s="6">
        <v>920</v>
      </c>
      <c r="B921" s="7" t="s">
        <v>9</v>
      </c>
      <c r="C921" s="8">
        <v>1883</v>
      </c>
      <c r="D921" s="9">
        <v>45395</v>
      </c>
      <c r="E921" s="13" t="str">
        <f>+HYPERLINK("http://trademark.i-assist.jp/data/china/image_1883th/76276523.pdf","76276523")</f>
        <v>76276523</v>
      </c>
      <c r="F921" s="7" t="s">
        <v>2511</v>
      </c>
      <c r="G921" s="7" t="s">
        <v>2512</v>
      </c>
      <c r="H921" s="7" t="s">
        <v>2513</v>
      </c>
      <c r="I921" s="9">
        <v>45300</v>
      </c>
    </row>
    <row r="922" spans="1:9" ht="27" x14ac:dyDescent="0.15">
      <c r="A922" s="6">
        <v>921</v>
      </c>
      <c r="B922" s="7" t="s">
        <v>9</v>
      </c>
      <c r="C922" s="8">
        <v>1883</v>
      </c>
      <c r="D922" s="9">
        <v>45395</v>
      </c>
      <c r="E922" s="13" t="str">
        <f>+HYPERLINK("http://trademark.i-assist.jp/data/china/image_1883th/76276644.pdf","76276644")</f>
        <v>76276644</v>
      </c>
      <c r="F922" s="7" t="s">
        <v>2514</v>
      </c>
      <c r="G922" s="7" t="s">
        <v>2515</v>
      </c>
      <c r="H922" s="7" t="s">
        <v>2516</v>
      </c>
      <c r="I922" s="9">
        <v>45300</v>
      </c>
    </row>
    <row r="923" spans="1:9" x14ac:dyDescent="0.15">
      <c r="A923" s="6">
        <v>922</v>
      </c>
      <c r="B923" s="7" t="s">
        <v>9</v>
      </c>
      <c r="C923" s="8">
        <v>1883</v>
      </c>
      <c r="D923" s="9">
        <v>45395</v>
      </c>
      <c r="E923" s="13" t="str">
        <f>+HYPERLINK("http://trademark.i-assist.jp/data/china/image_1883th/76276690.pdf","76276690")</f>
        <v>76276690</v>
      </c>
      <c r="F923" s="7" t="s">
        <v>2517</v>
      </c>
      <c r="G923" s="7" t="s">
        <v>2518</v>
      </c>
      <c r="H923" s="7" t="s">
        <v>2519</v>
      </c>
      <c r="I923" s="9">
        <v>45300</v>
      </c>
    </row>
    <row r="924" spans="1:9" x14ac:dyDescent="0.15">
      <c r="A924" s="6">
        <v>923</v>
      </c>
      <c r="B924" s="7" t="s">
        <v>9</v>
      </c>
      <c r="C924" s="8">
        <v>1883</v>
      </c>
      <c r="D924" s="9">
        <v>45395</v>
      </c>
      <c r="E924" s="13" t="str">
        <f>+HYPERLINK("http://trademark.i-assist.jp/data/china/image_1883th/76276861.pdf","76276861")</f>
        <v>76276861</v>
      </c>
      <c r="F924" s="7" t="s">
        <v>2520</v>
      </c>
      <c r="G924" s="7" t="s">
        <v>2521</v>
      </c>
      <c r="H924" s="7" t="s">
        <v>2522</v>
      </c>
      <c r="I924" s="9">
        <v>45300</v>
      </c>
    </row>
    <row r="925" spans="1:9" x14ac:dyDescent="0.15">
      <c r="A925" s="6">
        <v>924</v>
      </c>
      <c r="B925" s="7" t="s">
        <v>9</v>
      </c>
      <c r="C925" s="8">
        <v>1883</v>
      </c>
      <c r="D925" s="9">
        <v>45395</v>
      </c>
      <c r="E925" s="13" t="str">
        <f>+HYPERLINK("http://trademark.i-assist.jp/data/china/image_1883th/76277747.pdf","76277747")</f>
        <v>76277747</v>
      </c>
      <c r="F925" s="7" t="s">
        <v>2523</v>
      </c>
      <c r="G925" s="7" t="s">
        <v>2524</v>
      </c>
      <c r="H925" s="7" t="s">
        <v>2525</v>
      </c>
      <c r="I925" s="9">
        <v>45300</v>
      </c>
    </row>
    <row r="926" spans="1:9" x14ac:dyDescent="0.15">
      <c r="A926" s="6">
        <v>925</v>
      </c>
      <c r="B926" s="7" t="s">
        <v>9</v>
      </c>
      <c r="C926" s="8">
        <v>1883</v>
      </c>
      <c r="D926" s="9">
        <v>45395</v>
      </c>
      <c r="E926" s="13" t="str">
        <f>+HYPERLINK("http://trademark.i-assist.jp/data/china/image_1883th/76277769.pdf","76277769")</f>
        <v>76277769</v>
      </c>
      <c r="F926" s="7" t="s">
        <v>2526</v>
      </c>
      <c r="G926" s="7" t="s">
        <v>2527</v>
      </c>
      <c r="H926" s="7" t="s">
        <v>2528</v>
      </c>
      <c r="I926" s="9">
        <v>45300</v>
      </c>
    </row>
    <row r="927" spans="1:9" x14ac:dyDescent="0.15">
      <c r="A927" s="6">
        <v>926</v>
      </c>
      <c r="B927" s="7" t="s">
        <v>9</v>
      </c>
      <c r="C927" s="8">
        <v>1883</v>
      </c>
      <c r="D927" s="9">
        <v>45395</v>
      </c>
      <c r="E927" s="13" t="str">
        <f>+HYPERLINK("http://trademark.i-assist.jp/data/china/image_1883th/76277988.pdf","76277988")</f>
        <v>76277988</v>
      </c>
      <c r="F927" s="7" t="s">
        <v>2529</v>
      </c>
      <c r="G927" s="7" t="s">
        <v>2530</v>
      </c>
      <c r="H927" s="7" t="s">
        <v>2531</v>
      </c>
      <c r="I927" s="9">
        <v>45300</v>
      </c>
    </row>
    <row r="928" spans="1:9" x14ac:dyDescent="0.15">
      <c r="A928" s="6">
        <v>927</v>
      </c>
      <c r="B928" s="7" t="s">
        <v>9</v>
      </c>
      <c r="C928" s="8">
        <v>1883</v>
      </c>
      <c r="D928" s="9">
        <v>45395</v>
      </c>
      <c r="E928" s="13" t="str">
        <f>+HYPERLINK("http://trademark.i-assist.jp/data/china/image_1883th/76278171.pdf","76278171")</f>
        <v>76278171</v>
      </c>
      <c r="F928" s="7" t="s">
        <v>57</v>
      </c>
      <c r="G928" s="7" t="s">
        <v>2532</v>
      </c>
      <c r="H928" s="7" t="s">
        <v>2533</v>
      </c>
      <c r="I928" s="9">
        <v>45300</v>
      </c>
    </row>
    <row r="929" spans="1:9" x14ac:dyDescent="0.15">
      <c r="A929" s="6">
        <v>928</v>
      </c>
      <c r="B929" s="7" t="s">
        <v>9</v>
      </c>
      <c r="C929" s="8">
        <v>1883</v>
      </c>
      <c r="D929" s="9">
        <v>45395</v>
      </c>
      <c r="E929" s="13" t="str">
        <f>+HYPERLINK("http://trademark.i-assist.jp/data/china/image_1883th/76278604.pdf","76278604")</f>
        <v>76278604</v>
      </c>
      <c r="F929" s="7" t="s">
        <v>2534</v>
      </c>
      <c r="G929" s="7" t="s">
        <v>2535</v>
      </c>
      <c r="H929" s="7" t="s">
        <v>2536</v>
      </c>
      <c r="I929" s="9">
        <v>45300</v>
      </c>
    </row>
    <row r="930" spans="1:9" x14ac:dyDescent="0.15">
      <c r="A930" s="6">
        <v>929</v>
      </c>
      <c r="B930" s="7" t="s">
        <v>9</v>
      </c>
      <c r="C930" s="8">
        <v>1883</v>
      </c>
      <c r="D930" s="9">
        <v>45395</v>
      </c>
      <c r="E930" s="13" t="str">
        <f>+HYPERLINK("http://trademark.i-assist.jp/data/china/image_1883th/76278837.pdf","76278837")</f>
        <v>76278837</v>
      </c>
      <c r="F930" s="7" t="s">
        <v>2537</v>
      </c>
      <c r="G930" s="7" t="s">
        <v>139</v>
      </c>
      <c r="H930" s="7" t="s">
        <v>2538</v>
      </c>
      <c r="I930" s="9">
        <v>45300</v>
      </c>
    </row>
    <row r="931" spans="1:9" x14ac:dyDescent="0.15">
      <c r="A931" s="6">
        <v>930</v>
      </c>
      <c r="B931" s="7" t="s">
        <v>9</v>
      </c>
      <c r="C931" s="8">
        <v>1883</v>
      </c>
      <c r="D931" s="9">
        <v>45395</v>
      </c>
      <c r="E931" s="13" t="str">
        <f>+HYPERLINK("http://trademark.i-assist.jp/data/china/image_1883th/76278959.pdf","76278959")</f>
        <v>76278959</v>
      </c>
      <c r="F931" s="7" t="s">
        <v>2539</v>
      </c>
      <c r="G931" s="7" t="s">
        <v>2540</v>
      </c>
      <c r="H931" s="7" t="s">
        <v>2541</v>
      </c>
      <c r="I931" s="9">
        <v>45300</v>
      </c>
    </row>
    <row r="932" spans="1:9" x14ac:dyDescent="0.15">
      <c r="A932" s="6">
        <v>931</v>
      </c>
      <c r="B932" s="7" t="s">
        <v>9</v>
      </c>
      <c r="C932" s="8">
        <v>1883</v>
      </c>
      <c r="D932" s="9">
        <v>45395</v>
      </c>
      <c r="E932" s="13" t="str">
        <f>+HYPERLINK("http://trademark.i-assist.jp/data/china/image_1883th/76279182.pdf","76279182")</f>
        <v>76279182</v>
      </c>
      <c r="F932" s="7" t="s">
        <v>2542</v>
      </c>
      <c r="G932" s="7" t="s">
        <v>2543</v>
      </c>
      <c r="H932" s="7" t="s">
        <v>2544</v>
      </c>
      <c r="I932" s="9">
        <v>45300</v>
      </c>
    </row>
    <row r="933" spans="1:9" x14ac:dyDescent="0.15">
      <c r="A933" s="6">
        <v>932</v>
      </c>
      <c r="B933" s="7" t="s">
        <v>9</v>
      </c>
      <c r="C933" s="8">
        <v>1883</v>
      </c>
      <c r="D933" s="9">
        <v>45395</v>
      </c>
      <c r="E933" s="13" t="str">
        <f>+HYPERLINK("http://trademark.i-assist.jp/data/china/image_1883th/76279509.pdf","76279509")</f>
        <v>76279509</v>
      </c>
      <c r="F933" s="7" t="s">
        <v>2545</v>
      </c>
      <c r="G933" s="7" t="s">
        <v>2546</v>
      </c>
      <c r="H933" s="7" t="s">
        <v>2547</v>
      </c>
      <c r="I933" s="9">
        <v>45300</v>
      </c>
    </row>
    <row r="934" spans="1:9" x14ac:dyDescent="0.15">
      <c r="A934" s="6">
        <v>933</v>
      </c>
      <c r="B934" s="7" t="s">
        <v>9</v>
      </c>
      <c r="C934" s="8">
        <v>1883</v>
      </c>
      <c r="D934" s="9">
        <v>45395</v>
      </c>
      <c r="E934" s="13" t="str">
        <f>+HYPERLINK("http://trademark.i-assist.jp/data/china/image_1883th/76280000.pdf","76280000")</f>
        <v>76280000</v>
      </c>
      <c r="F934" s="7" t="s">
        <v>2548</v>
      </c>
      <c r="G934" s="7" t="s">
        <v>2549</v>
      </c>
      <c r="H934" s="7" t="s">
        <v>2550</v>
      </c>
      <c r="I934" s="9">
        <v>45300</v>
      </c>
    </row>
    <row r="935" spans="1:9" x14ac:dyDescent="0.15">
      <c r="A935" s="6">
        <v>934</v>
      </c>
      <c r="B935" s="7" t="s">
        <v>9</v>
      </c>
      <c r="C935" s="8">
        <v>1883</v>
      </c>
      <c r="D935" s="9">
        <v>45395</v>
      </c>
      <c r="E935" s="13" t="str">
        <f>+HYPERLINK("http://trademark.i-assist.jp/data/china/image_1883th/76280131.pdf","76280131")</f>
        <v>76280131</v>
      </c>
      <c r="F935" s="7" t="s">
        <v>2551</v>
      </c>
      <c r="G935" s="7" t="s">
        <v>2433</v>
      </c>
      <c r="H935" s="7" t="s">
        <v>2552</v>
      </c>
      <c r="I935" s="9">
        <v>45300</v>
      </c>
    </row>
    <row r="936" spans="1:9" x14ac:dyDescent="0.15">
      <c r="A936" s="6">
        <v>935</v>
      </c>
      <c r="B936" s="7" t="s">
        <v>9</v>
      </c>
      <c r="C936" s="8">
        <v>1883</v>
      </c>
      <c r="D936" s="9">
        <v>45395</v>
      </c>
      <c r="E936" s="13" t="str">
        <f>+HYPERLINK("http://trademark.i-assist.jp/data/china/image_1883th/76280145.pdf","76280145")</f>
        <v>76280145</v>
      </c>
      <c r="F936" s="7" t="s">
        <v>2553</v>
      </c>
      <c r="G936" s="7" t="s">
        <v>2433</v>
      </c>
      <c r="H936" s="7" t="s">
        <v>2554</v>
      </c>
      <c r="I936" s="9">
        <v>45300</v>
      </c>
    </row>
    <row r="937" spans="1:9" x14ac:dyDescent="0.15">
      <c r="A937" s="6">
        <v>936</v>
      </c>
      <c r="B937" s="7" t="s">
        <v>9</v>
      </c>
      <c r="C937" s="8">
        <v>1883</v>
      </c>
      <c r="D937" s="9">
        <v>45395</v>
      </c>
      <c r="E937" s="13" t="str">
        <f>+HYPERLINK("http://trademark.i-assist.jp/data/china/image_1883th/76280230.pdf","76280230")</f>
        <v>76280230</v>
      </c>
      <c r="F937" s="7" t="s">
        <v>2555</v>
      </c>
      <c r="G937" s="7" t="s">
        <v>2556</v>
      </c>
      <c r="H937" s="7" t="s">
        <v>2557</v>
      </c>
      <c r="I937" s="9">
        <v>45300</v>
      </c>
    </row>
    <row r="938" spans="1:9" x14ac:dyDescent="0.15">
      <c r="A938" s="6">
        <v>937</v>
      </c>
      <c r="B938" s="7" t="s">
        <v>9</v>
      </c>
      <c r="C938" s="8">
        <v>1883</v>
      </c>
      <c r="D938" s="9">
        <v>45395</v>
      </c>
      <c r="E938" s="13" t="str">
        <f>+HYPERLINK("http://trademark.i-assist.jp/data/china/image_1883th/76280397.pdf","76280397")</f>
        <v>76280397</v>
      </c>
      <c r="F938" s="7" t="s">
        <v>2558</v>
      </c>
      <c r="G938" s="7" t="s">
        <v>2559</v>
      </c>
      <c r="H938" s="7" t="s">
        <v>2560</v>
      </c>
      <c r="I938" s="9">
        <v>45300</v>
      </c>
    </row>
    <row r="939" spans="1:9" x14ac:dyDescent="0.15">
      <c r="A939" s="6">
        <v>938</v>
      </c>
      <c r="B939" s="7" t="s">
        <v>9</v>
      </c>
      <c r="C939" s="8">
        <v>1883</v>
      </c>
      <c r="D939" s="9">
        <v>45395</v>
      </c>
      <c r="E939" s="13" t="str">
        <f>+HYPERLINK("http://trademark.i-assist.jp/data/china/image_1883th/76280505.pdf","76280505")</f>
        <v>76280505</v>
      </c>
      <c r="F939" s="7" t="s">
        <v>2561</v>
      </c>
      <c r="G939" s="7" t="s">
        <v>2562</v>
      </c>
      <c r="H939" s="7" t="s">
        <v>2563</v>
      </c>
      <c r="I939" s="9">
        <v>45300</v>
      </c>
    </row>
    <row r="940" spans="1:9" x14ac:dyDescent="0.15">
      <c r="A940" s="6">
        <v>939</v>
      </c>
      <c r="B940" s="7" t="s">
        <v>9</v>
      </c>
      <c r="C940" s="8">
        <v>1883</v>
      </c>
      <c r="D940" s="9">
        <v>45395</v>
      </c>
      <c r="E940" s="13" t="str">
        <f>+HYPERLINK("http://trademark.i-assist.jp/data/china/image_1883th/76280616.pdf","76280616")</f>
        <v>76280616</v>
      </c>
      <c r="F940" s="7" t="s">
        <v>2564</v>
      </c>
      <c r="G940" s="7" t="s">
        <v>2445</v>
      </c>
      <c r="H940" s="7" t="s">
        <v>2565</v>
      </c>
      <c r="I940" s="9">
        <v>45300</v>
      </c>
    </row>
    <row r="941" spans="1:9" x14ac:dyDescent="0.15">
      <c r="A941" s="6">
        <v>940</v>
      </c>
      <c r="B941" s="7" t="s">
        <v>9</v>
      </c>
      <c r="C941" s="8">
        <v>1883</v>
      </c>
      <c r="D941" s="9">
        <v>45395</v>
      </c>
      <c r="E941" s="13" t="str">
        <f>+HYPERLINK("http://trademark.i-assist.jp/data/china/image_1883th/76280647.pdf","76280647")</f>
        <v>76280647</v>
      </c>
      <c r="F941" s="7" t="s">
        <v>2566</v>
      </c>
      <c r="G941" s="7" t="s">
        <v>2567</v>
      </c>
      <c r="H941" s="7" t="s">
        <v>2568</v>
      </c>
      <c r="I941" s="9">
        <v>45300</v>
      </c>
    </row>
    <row r="942" spans="1:9" x14ac:dyDescent="0.15">
      <c r="A942" s="6">
        <v>941</v>
      </c>
      <c r="B942" s="7" t="s">
        <v>9</v>
      </c>
      <c r="C942" s="8">
        <v>1883</v>
      </c>
      <c r="D942" s="9">
        <v>45395</v>
      </c>
      <c r="E942" s="13" t="str">
        <f>+HYPERLINK("http://trademark.i-assist.jp/data/china/image_1883th/76280698.pdf","76280698")</f>
        <v>76280698</v>
      </c>
      <c r="F942" s="7" t="s">
        <v>2569</v>
      </c>
      <c r="G942" s="7" t="s">
        <v>2521</v>
      </c>
      <c r="H942" s="7" t="s">
        <v>2570</v>
      </c>
      <c r="I942" s="9">
        <v>45300</v>
      </c>
    </row>
    <row r="943" spans="1:9" x14ac:dyDescent="0.15">
      <c r="A943" s="6">
        <v>942</v>
      </c>
      <c r="B943" s="7" t="s">
        <v>9</v>
      </c>
      <c r="C943" s="8">
        <v>1883</v>
      </c>
      <c r="D943" s="9">
        <v>45395</v>
      </c>
      <c r="E943" s="13" t="str">
        <f>+HYPERLINK("http://trademark.i-assist.jp/data/china/image_1883th/76281001.pdf","76281001")</f>
        <v>76281001</v>
      </c>
      <c r="F943" s="7" t="s">
        <v>2571</v>
      </c>
      <c r="G943" s="7" t="s">
        <v>2572</v>
      </c>
      <c r="H943" s="7" t="s">
        <v>2573</v>
      </c>
      <c r="I943" s="9">
        <v>45300</v>
      </c>
    </row>
    <row r="944" spans="1:9" ht="27" x14ac:dyDescent="0.15">
      <c r="A944" s="6">
        <v>943</v>
      </c>
      <c r="B944" s="7" t="s">
        <v>9</v>
      </c>
      <c r="C944" s="8">
        <v>1883</v>
      </c>
      <c r="D944" s="9">
        <v>45395</v>
      </c>
      <c r="E944" s="13" t="str">
        <f>+HYPERLINK("http://trademark.i-assist.jp/data/china/image_1883th/76281607.pdf","76281607")</f>
        <v>76281607</v>
      </c>
      <c r="F944" s="7" t="s">
        <v>2574</v>
      </c>
      <c r="G944" s="7" t="s">
        <v>2575</v>
      </c>
      <c r="H944" s="7" t="s">
        <v>2576</v>
      </c>
      <c r="I944" s="9">
        <v>45300</v>
      </c>
    </row>
    <row r="945" spans="1:9" x14ac:dyDescent="0.15">
      <c r="A945" s="6">
        <v>944</v>
      </c>
      <c r="B945" s="7" t="s">
        <v>9</v>
      </c>
      <c r="C945" s="8">
        <v>1883</v>
      </c>
      <c r="D945" s="9">
        <v>45395</v>
      </c>
      <c r="E945" s="13" t="str">
        <f>+HYPERLINK("http://trademark.i-assist.jp/data/china/image_1883th/76281796.pdf","76281796")</f>
        <v>76281796</v>
      </c>
      <c r="F945" s="7" t="s">
        <v>2577</v>
      </c>
      <c r="G945" s="7" t="s">
        <v>2578</v>
      </c>
      <c r="H945" s="7" t="s">
        <v>2579</v>
      </c>
      <c r="I945" s="9">
        <v>45300</v>
      </c>
    </row>
    <row r="946" spans="1:9" x14ac:dyDescent="0.15">
      <c r="A946" s="6">
        <v>945</v>
      </c>
      <c r="B946" s="7" t="s">
        <v>9</v>
      </c>
      <c r="C946" s="8">
        <v>1883</v>
      </c>
      <c r="D946" s="9">
        <v>45395</v>
      </c>
      <c r="E946" s="13" t="str">
        <f>+HYPERLINK("http://trademark.i-assist.jp/data/china/image_1883th/76281899.pdf","76281899")</f>
        <v>76281899</v>
      </c>
      <c r="F946" s="7" t="s">
        <v>2580</v>
      </c>
      <c r="G946" s="7" t="s">
        <v>2581</v>
      </c>
      <c r="H946" s="7" t="s">
        <v>2582</v>
      </c>
      <c r="I946" s="9">
        <v>45300</v>
      </c>
    </row>
    <row r="947" spans="1:9" ht="27" x14ac:dyDescent="0.15">
      <c r="A947" s="6">
        <v>946</v>
      </c>
      <c r="B947" s="7" t="s">
        <v>9</v>
      </c>
      <c r="C947" s="8">
        <v>1883</v>
      </c>
      <c r="D947" s="9">
        <v>45395</v>
      </c>
      <c r="E947" s="13" t="str">
        <f>+HYPERLINK("http://trademark.i-assist.jp/data/china/image_1883th/76282030.pdf","76282030")</f>
        <v>76282030</v>
      </c>
      <c r="F947" s="7" t="s">
        <v>2583</v>
      </c>
      <c r="G947" s="7" t="s">
        <v>2490</v>
      </c>
      <c r="H947" s="7" t="s">
        <v>2584</v>
      </c>
      <c r="I947" s="9">
        <v>45300</v>
      </c>
    </row>
    <row r="948" spans="1:9" ht="27" x14ac:dyDescent="0.15">
      <c r="A948" s="6">
        <v>947</v>
      </c>
      <c r="B948" s="7" t="s">
        <v>9</v>
      </c>
      <c r="C948" s="8">
        <v>1883</v>
      </c>
      <c r="D948" s="9">
        <v>45395</v>
      </c>
      <c r="E948" s="13" t="str">
        <f>+HYPERLINK("http://trademark.i-assist.jp/data/china/image_1883th/76282198.pdf","76282198")</f>
        <v>76282198</v>
      </c>
      <c r="F948" s="7" t="s">
        <v>2585</v>
      </c>
      <c r="G948" s="7" t="s">
        <v>2586</v>
      </c>
      <c r="H948" s="7" t="s">
        <v>2587</v>
      </c>
      <c r="I948" s="9">
        <v>45300</v>
      </c>
    </row>
    <row r="949" spans="1:9" x14ac:dyDescent="0.15">
      <c r="A949" s="6">
        <v>948</v>
      </c>
      <c r="B949" s="7" t="s">
        <v>9</v>
      </c>
      <c r="C949" s="8">
        <v>1883</v>
      </c>
      <c r="D949" s="9">
        <v>45395</v>
      </c>
      <c r="E949" s="13" t="str">
        <f>+HYPERLINK("http://trademark.i-assist.jp/data/china/image_1883th/76282376.pdf","76282376")</f>
        <v>76282376</v>
      </c>
      <c r="F949" s="7" t="s">
        <v>2588</v>
      </c>
      <c r="G949" s="7" t="s">
        <v>2589</v>
      </c>
      <c r="H949" s="7" t="s">
        <v>2590</v>
      </c>
      <c r="I949" s="9">
        <v>45300</v>
      </c>
    </row>
    <row r="950" spans="1:9" x14ac:dyDescent="0.15">
      <c r="A950" s="6">
        <v>949</v>
      </c>
      <c r="B950" s="7" t="s">
        <v>9</v>
      </c>
      <c r="C950" s="8">
        <v>1883</v>
      </c>
      <c r="D950" s="9">
        <v>45395</v>
      </c>
      <c r="E950" s="13" t="str">
        <f>+HYPERLINK("http://trademark.i-assist.jp/data/china/image_1883th/76282975.pdf","76282975")</f>
        <v>76282975</v>
      </c>
      <c r="F950" s="7" t="s">
        <v>2591</v>
      </c>
      <c r="G950" s="7" t="s">
        <v>2592</v>
      </c>
      <c r="H950" s="7" t="s">
        <v>2593</v>
      </c>
      <c r="I950" s="9">
        <v>45300</v>
      </c>
    </row>
    <row r="951" spans="1:9" x14ac:dyDescent="0.15">
      <c r="A951" s="6">
        <v>950</v>
      </c>
      <c r="B951" s="7" t="s">
        <v>9</v>
      </c>
      <c r="C951" s="8">
        <v>1883</v>
      </c>
      <c r="D951" s="9">
        <v>45395</v>
      </c>
      <c r="E951" s="13" t="str">
        <f>+HYPERLINK("http://trademark.i-assist.jp/data/china/image_1883th/76282991.pdf","76282991")</f>
        <v>76282991</v>
      </c>
      <c r="F951" s="7" t="s">
        <v>2594</v>
      </c>
      <c r="G951" s="7" t="s">
        <v>2595</v>
      </c>
      <c r="H951" s="7" t="s">
        <v>2596</v>
      </c>
      <c r="I951" s="9">
        <v>45300</v>
      </c>
    </row>
    <row r="952" spans="1:9" x14ac:dyDescent="0.15">
      <c r="A952" s="6">
        <v>951</v>
      </c>
      <c r="B952" s="7" t="s">
        <v>9</v>
      </c>
      <c r="C952" s="8">
        <v>1883</v>
      </c>
      <c r="D952" s="9">
        <v>45395</v>
      </c>
      <c r="E952" s="13" t="str">
        <f>+HYPERLINK("http://trademark.i-assist.jp/data/china/image_1883th/76283432.pdf","76283432")</f>
        <v>76283432</v>
      </c>
      <c r="F952" s="7" t="s">
        <v>2597</v>
      </c>
      <c r="G952" s="7" t="s">
        <v>2598</v>
      </c>
      <c r="H952" s="7" t="s">
        <v>2599</v>
      </c>
      <c r="I952" s="9">
        <v>45300</v>
      </c>
    </row>
    <row r="953" spans="1:9" x14ac:dyDescent="0.15">
      <c r="A953" s="6">
        <v>952</v>
      </c>
      <c r="B953" s="7" t="s">
        <v>9</v>
      </c>
      <c r="C953" s="8">
        <v>1883</v>
      </c>
      <c r="D953" s="9">
        <v>45395</v>
      </c>
      <c r="E953" s="13" t="str">
        <f>+HYPERLINK("http://trademark.i-assist.jp/data/china/image_1883th/76283434.pdf","76283434")</f>
        <v>76283434</v>
      </c>
      <c r="F953" s="7" t="s">
        <v>57</v>
      </c>
      <c r="G953" s="7" t="s">
        <v>2600</v>
      </c>
      <c r="H953" s="7" t="s">
        <v>2601</v>
      </c>
      <c r="I953" s="9">
        <v>45300</v>
      </c>
    </row>
    <row r="954" spans="1:9" x14ac:dyDescent="0.15">
      <c r="A954" s="6">
        <v>953</v>
      </c>
      <c r="B954" s="7" t="s">
        <v>9</v>
      </c>
      <c r="C954" s="8">
        <v>1883</v>
      </c>
      <c r="D954" s="9">
        <v>45395</v>
      </c>
      <c r="E954" s="13" t="str">
        <f>+HYPERLINK("http://trademark.i-assist.jp/data/china/image_1883th/76283686.pdf","76283686")</f>
        <v>76283686</v>
      </c>
      <c r="F954" s="7" t="s">
        <v>2602</v>
      </c>
      <c r="G954" s="7" t="s">
        <v>2603</v>
      </c>
      <c r="H954" s="7" t="s">
        <v>2604</v>
      </c>
      <c r="I954" s="9">
        <v>45300</v>
      </c>
    </row>
    <row r="955" spans="1:9" x14ac:dyDescent="0.15">
      <c r="A955" s="6">
        <v>954</v>
      </c>
      <c r="B955" s="7" t="s">
        <v>9</v>
      </c>
      <c r="C955" s="8">
        <v>1883</v>
      </c>
      <c r="D955" s="9">
        <v>45395</v>
      </c>
      <c r="E955" s="13" t="str">
        <f>+HYPERLINK("http://trademark.i-assist.jp/data/china/image_1883th/76283820.pdf","76283820")</f>
        <v>76283820</v>
      </c>
      <c r="F955" s="7" t="s">
        <v>2605</v>
      </c>
      <c r="G955" s="7" t="s">
        <v>2606</v>
      </c>
      <c r="H955" s="7" t="s">
        <v>2607</v>
      </c>
      <c r="I955" s="9">
        <v>45300</v>
      </c>
    </row>
    <row r="956" spans="1:9" x14ac:dyDescent="0.15">
      <c r="A956" s="6">
        <v>955</v>
      </c>
      <c r="B956" s="7" t="s">
        <v>9</v>
      </c>
      <c r="C956" s="8">
        <v>1883</v>
      </c>
      <c r="D956" s="9">
        <v>45395</v>
      </c>
      <c r="E956" s="13" t="str">
        <f>+HYPERLINK("http://trademark.i-assist.jp/data/china/image_1883th/76284568.pdf","76284568")</f>
        <v>76284568</v>
      </c>
      <c r="F956" s="7" t="s">
        <v>2608</v>
      </c>
      <c r="G956" s="7" t="s">
        <v>2609</v>
      </c>
      <c r="H956" s="7" t="s">
        <v>2610</v>
      </c>
      <c r="I956" s="9">
        <v>45300</v>
      </c>
    </row>
    <row r="957" spans="1:9" ht="27" x14ac:dyDescent="0.15">
      <c r="A957" s="6">
        <v>956</v>
      </c>
      <c r="B957" s="7" t="s">
        <v>9</v>
      </c>
      <c r="C957" s="8">
        <v>1883</v>
      </c>
      <c r="D957" s="9">
        <v>45395</v>
      </c>
      <c r="E957" s="13" t="str">
        <f>+HYPERLINK("http://trademark.i-assist.jp/data/china/image_1883th/76284645.pdf","76284645")</f>
        <v>76284645</v>
      </c>
      <c r="F957" s="7" t="s">
        <v>57</v>
      </c>
      <c r="G957" s="7" t="s">
        <v>2611</v>
      </c>
      <c r="H957" s="7" t="s">
        <v>2612</v>
      </c>
      <c r="I957" s="9">
        <v>45300</v>
      </c>
    </row>
    <row r="958" spans="1:9" x14ac:dyDescent="0.15">
      <c r="A958" s="6">
        <v>957</v>
      </c>
      <c r="B958" s="7" t="s">
        <v>9</v>
      </c>
      <c r="C958" s="8">
        <v>1883</v>
      </c>
      <c r="D958" s="9">
        <v>45395</v>
      </c>
      <c r="E958" s="13" t="str">
        <f>+HYPERLINK("http://trademark.i-assist.jp/data/china/image_1883th/76284680.pdf","76284680")</f>
        <v>76284680</v>
      </c>
      <c r="F958" s="7" t="s">
        <v>2613</v>
      </c>
      <c r="G958" s="7" t="s">
        <v>2614</v>
      </c>
      <c r="H958" s="7" t="s">
        <v>2615</v>
      </c>
      <c r="I958" s="9">
        <v>45300</v>
      </c>
    </row>
    <row r="959" spans="1:9" ht="27" x14ac:dyDescent="0.15">
      <c r="A959" s="6">
        <v>958</v>
      </c>
      <c r="B959" s="7" t="s">
        <v>9</v>
      </c>
      <c r="C959" s="8">
        <v>1883</v>
      </c>
      <c r="D959" s="9">
        <v>45395</v>
      </c>
      <c r="E959" s="13" t="str">
        <f>+HYPERLINK("http://trademark.i-assist.jp/data/china/image_1883th/76284706.pdf","76284706")</f>
        <v>76284706</v>
      </c>
      <c r="F959" s="7" t="s">
        <v>2616</v>
      </c>
      <c r="G959" s="7" t="s">
        <v>2617</v>
      </c>
      <c r="H959" s="7" t="s">
        <v>2618</v>
      </c>
      <c r="I959" s="9">
        <v>45300</v>
      </c>
    </row>
    <row r="960" spans="1:9" x14ac:dyDescent="0.15">
      <c r="A960" s="6">
        <v>959</v>
      </c>
      <c r="B960" s="7" t="s">
        <v>9</v>
      </c>
      <c r="C960" s="8">
        <v>1883</v>
      </c>
      <c r="D960" s="9">
        <v>45395</v>
      </c>
      <c r="E960" s="13" t="str">
        <f>+HYPERLINK("http://trademark.i-assist.jp/data/china/image_1883th/76284836.pdf","76284836")</f>
        <v>76284836</v>
      </c>
      <c r="F960" s="7" t="s">
        <v>2619</v>
      </c>
      <c r="G960" s="7" t="s">
        <v>2620</v>
      </c>
      <c r="H960" s="7" t="s">
        <v>2621</v>
      </c>
      <c r="I960" s="9">
        <v>45300</v>
      </c>
    </row>
    <row r="961" spans="1:9" x14ac:dyDescent="0.15">
      <c r="A961" s="6">
        <v>960</v>
      </c>
      <c r="B961" s="7" t="s">
        <v>9</v>
      </c>
      <c r="C961" s="8">
        <v>1883</v>
      </c>
      <c r="D961" s="9">
        <v>45395</v>
      </c>
      <c r="E961" s="13" t="str">
        <f>+HYPERLINK("http://trademark.i-assist.jp/data/china/image_1883th/76285189.pdf","76285189")</f>
        <v>76285189</v>
      </c>
      <c r="F961" s="7" t="s">
        <v>2622</v>
      </c>
      <c r="G961" s="7" t="s">
        <v>2623</v>
      </c>
      <c r="H961" s="7" t="s">
        <v>2624</v>
      </c>
      <c r="I961" s="9">
        <v>45300</v>
      </c>
    </row>
    <row r="962" spans="1:9" x14ac:dyDescent="0.15">
      <c r="A962" s="6">
        <v>961</v>
      </c>
      <c r="B962" s="7" t="s">
        <v>9</v>
      </c>
      <c r="C962" s="8">
        <v>1883</v>
      </c>
      <c r="D962" s="9">
        <v>45395</v>
      </c>
      <c r="E962" s="13" t="str">
        <f>+HYPERLINK("http://trademark.i-assist.jp/data/china/image_1883th/76285250.pdf","76285250")</f>
        <v>76285250</v>
      </c>
      <c r="F962" s="7" t="s">
        <v>2625</v>
      </c>
      <c r="G962" s="7" t="s">
        <v>2626</v>
      </c>
      <c r="H962" s="7" t="s">
        <v>2627</v>
      </c>
      <c r="I962" s="9">
        <v>45300</v>
      </c>
    </row>
    <row r="963" spans="1:9" ht="27" x14ac:dyDescent="0.15">
      <c r="A963" s="6">
        <v>962</v>
      </c>
      <c r="B963" s="7" t="s">
        <v>9</v>
      </c>
      <c r="C963" s="8">
        <v>1883</v>
      </c>
      <c r="D963" s="9">
        <v>45395</v>
      </c>
      <c r="E963" s="13" t="str">
        <f>+HYPERLINK("http://trademark.i-assist.jp/data/china/image_1883th/76285293.pdf","76285293")</f>
        <v>76285293</v>
      </c>
      <c r="F963" s="7" t="s">
        <v>2628</v>
      </c>
      <c r="G963" s="7" t="s">
        <v>2629</v>
      </c>
      <c r="H963" s="7" t="s">
        <v>2630</v>
      </c>
      <c r="I963" s="9">
        <v>45300</v>
      </c>
    </row>
    <row r="964" spans="1:9" x14ac:dyDescent="0.15">
      <c r="A964" s="6">
        <v>963</v>
      </c>
      <c r="B964" s="7" t="s">
        <v>9</v>
      </c>
      <c r="C964" s="8">
        <v>1883</v>
      </c>
      <c r="D964" s="9">
        <v>45395</v>
      </c>
      <c r="E964" s="13" t="str">
        <f>+HYPERLINK("http://trademark.i-assist.jp/data/china/image_1883th/76285587.pdf","76285587")</f>
        <v>76285587</v>
      </c>
      <c r="F964" s="7" t="s">
        <v>2631</v>
      </c>
      <c r="G964" s="7" t="s">
        <v>2632</v>
      </c>
      <c r="H964" s="7" t="s">
        <v>2633</v>
      </c>
      <c r="I964" s="9">
        <v>45300</v>
      </c>
    </row>
    <row r="965" spans="1:9" ht="27" x14ac:dyDescent="0.15">
      <c r="A965" s="6">
        <v>964</v>
      </c>
      <c r="B965" s="7" t="s">
        <v>9</v>
      </c>
      <c r="C965" s="8">
        <v>1883</v>
      </c>
      <c r="D965" s="9">
        <v>45395</v>
      </c>
      <c r="E965" s="13" t="str">
        <f>+HYPERLINK("http://trademark.i-assist.jp/data/china/image_1883th/76285860.pdf","76285860")</f>
        <v>76285860</v>
      </c>
      <c r="F965" s="7" t="s">
        <v>2634</v>
      </c>
      <c r="G965" s="7" t="s">
        <v>2481</v>
      </c>
      <c r="H965" s="7" t="s">
        <v>2635</v>
      </c>
      <c r="I965" s="9">
        <v>45300</v>
      </c>
    </row>
    <row r="966" spans="1:9" ht="27" x14ac:dyDescent="0.15">
      <c r="A966" s="6">
        <v>965</v>
      </c>
      <c r="B966" s="7" t="s">
        <v>9</v>
      </c>
      <c r="C966" s="8">
        <v>1883</v>
      </c>
      <c r="D966" s="9">
        <v>45395</v>
      </c>
      <c r="E966" s="13" t="str">
        <f>+HYPERLINK("http://trademark.i-assist.jp/data/china/image_1883th/76285892.pdf","76285892")</f>
        <v>76285892</v>
      </c>
      <c r="F966" s="7" t="s">
        <v>2636</v>
      </c>
      <c r="G966" s="7" t="s">
        <v>2637</v>
      </c>
      <c r="H966" s="7" t="s">
        <v>2638</v>
      </c>
      <c r="I966" s="9">
        <v>45300</v>
      </c>
    </row>
    <row r="967" spans="1:9" x14ac:dyDescent="0.15">
      <c r="A967" s="6">
        <v>966</v>
      </c>
      <c r="B967" s="7" t="s">
        <v>9</v>
      </c>
      <c r="C967" s="8">
        <v>1883</v>
      </c>
      <c r="D967" s="9">
        <v>45395</v>
      </c>
      <c r="E967" s="13" t="str">
        <f>+HYPERLINK("http://trademark.i-assist.jp/data/china/image_1883th/76286098.pdf","76286098")</f>
        <v>76286098</v>
      </c>
      <c r="F967" s="7" t="s">
        <v>2639</v>
      </c>
      <c r="G967" s="7" t="s">
        <v>2445</v>
      </c>
      <c r="H967" s="7" t="s">
        <v>2640</v>
      </c>
      <c r="I967" s="9">
        <v>45300</v>
      </c>
    </row>
    <row r="968" spans="1:9" x14ac:dyDescent="0.15">
      <c r="A968" s="6">
        <v>967</v>
      </c>
      <c r="B968" s="7" t="s">
        <v>9</v>
      </c>
      <c r="C968" s="8">
        <v>1883</v>
      </c>
      <c r="D968" s="9">
        <v>45395</v>
      </c>
      <c r="E968" s="13" t="str">
        <f>+HYPERLINK("http://trademark.i-assist.jp/data/china/image_1883th/76286116.pdf","76286116")</f>
        <v>76286116</v>
      </c>
      <c r="F968" s="7" t="s">
        <v>2641</v>
      </c>
      <c r="G968" s="7" t="s">
        <v>2642</v>
      </c>
      <c r="H968" s="7" t="s">
        <v>2643</v>
      </c>
      <c r="I968" s="9">
        <v>45300</v>
      </c>
    </row>
    <row r="969" spans="1:9" x14ac:dyDescent="0.15">
      <c r="A969" s="6">
        <v>968</v>
      </c>
      <c r="B969" s="7" t="s">
        <v>9</v>
      </c>
      <c r="C969" s="8">
        <v>1883</v>
      </c>
      <c r="D969" s="9">
        <v>45395</v>
      </c>
      <c r="E969" s="13" t="str">
        <f>+HYPERLINK("http://trademark.i-assist.jp/data/china/image_1883th/76286374.pdf","76286374")</f>
        <v>76286374</v>
      </c>
      <c r="F969" s="7" t="s">
        <v>2644</v>
      </c>
      <c r="G969" s="7" t="s">
        <v>2645</v>
      </c>
      <c r="H969" s="7" t="s">
        <v>2646</v>
      </c>
      <c r="I969" s="9">
        <v>45300</v>
      </c>
    </row>
    <row r="970" spans="1:9" x14ac:dyDescent="0.15">
      <c r="A970" s="6">
        <v>969</v>
      </c>
      <c r="B970" s="7" t="s">
        <v>9</v>
      </c>
      <c r="C970" s="8">
        <v>1883</v>
      </c>
      <c r="D970" s="9">
        <v>45395</v>
      </c>
      <c r="E970" s="13" t="str">
        <f>+HYPERLINK("http://trademark.i-assist.jp/data/china/image_1883th/76286534.pdf","76286534")</f>
        <v>76286534</v>
      </c>
      <c r="F970" s="7" t="s">
        <v>2647</v>
      </c>
      <c r="G970" s="7" t="s">
        <v>2648</v>
      </c>
      <c r="H970" s="7" t="s">
        <v>2649</v>
      </c>
      <c r="I970" s="9">
        <v>45300</v>
      </c>
    </row>
    <row r="971" spans="1:9" x14ac:dyDescent="0.15">
      <c r="A971" s="6">
        <v>970</v>
      </c>
      <c r="B971" s="7" t="s">
        <v>9</v>
      </c>
      <c r="C971" s="8">
        <v>1883</v>
      </c>
      <c r="D971" s="9">
        <v>45395</v>
      </c>
      <c r="E971" s="13" t="str">
        <f>+HYPERLINK("http://trademark.i-assist.jp/data/china/image_1883th/76286612.pdf","76286612")</f>
        <v>76286612</v>
      </c>
      <c r="F971" s="7" t="s">
        <v>2650</v>
      </c>
      <c r="G971" s="7" t="s">
        <v>2651</v>
      </c>
      <c r="H971" s="7" t="s">
        <v>2652</v>
      </c>
      <c r="I971" s="9">
        <v>45300</v>
      </c>
    </row>
    <row r="972" spans="1:9" x14ac:dyDescent="0.15">
      <c r="A972" s="6">
        <v>971</v>
      </c>
      <c r="B972" s="7" t="s">
        <v>9</v>
      </c>
      <c r="C972" s="8">
        <v>1883</v>
      </c>
      <c r="D972" s="9">
        <v>45395</v>
      </c>
      <c r="E972" s="13" t="str">
        <f>+HYPERLINK("http://trademark.i-assist.jp/data/china/image_1883th/76286636.pdf","76286636")</f>
        <v>76286636</v>
      </c>
      <c r="F972" s="7" t="s">
        <v>2653</v>
      </c>
      <c r="G972" s="7" t="s">
        <v>2654</v>
      </c>
      <c r="H972" s="7" t="s">
        <v>2655</v>
      </c>
      <c r="I972" s="9">
        <v>45300</v>
      </c>
    </row>
    <row r="973" spans="1:9" x14ac:dyDescent="0.15">
      <c r="A973" s="6">
        <v>972</v>
      </c>
      <c r="B973" s="7" t="s">
        <v>9</v>
      </c>
      <c r="C973" s="8">
        <v>1883</v>
      </c>
      <c r="D973" s="9">
        <v>45395</v>
      </c>
      <c r="E973" s="13" t="str">
        <f>+HYPERLINK("http://trademark.i-assist.jp/data/china/image_1883th/76286718.pdf","76286718")</f>
        <v>76286718</v>
      </c>
      <c r="F973" s="7" t="s">
        <v>2656</v>
      </c>
      <c r="G973" s="7" t="s">
        <v>2657</v>
      </c>
      <c r="H973" s="7" t="s">
        <v>2658</v>
      </c>
      <c r="I973" s="9">
        <v>45300</v>
      </c>
    </row>
    <row r="974" spans="1:9" x14ac:dyDescent="0.15">
      <c r="A974" s="6">
        <v>973</v>
      </c>
      <c r="B974" s="7" t="s">
        <v>9</v>
      </c>
      <c r="C974" s="8">
        <v>1883</v>
      </c>
      <c r="D974" s="9">
        <v>45395</v>
      </c>
      <c r="E974" s="13" t="str">
        <f>+HYPERLINK("http://trademark.i-assist.jp/data/china/image_1883th/76286763.pdf","76286763")</f>
        <v>76286763</v>
      </c>
      <c r="F974" s="7" t="s">
        <v>2659</v>
      </c>
      <c r="G974" s="7" t="s">
        <v>2660</v>
      </c>
      <c r="H974" s="7" t="s">
        <v>2661</v>
      </c>
      <c r="I974" s="9">
        <v>45300</v>
      </c>
    </row>
    <row r="975" spans="1:9" ht="27" x14ac:dyDescent="0.15">
      <c r="A975" s="6">
        <v>974</v>
      </c>
      <c r="B975" s="7" t="s">
        <v>9</v>
      </c>
      <c r="C975" s="8">
        <v>1883</v>
      </c>
      <c r="D975" s="9">
        <v>45395</v>
      </c>
      <c r="E975" s="13" t="str">
        <f>+HYPERLINK("http://trademark.i-assist.jp/data/china/image_1883th/76286792.pdf","76286792")</f>
        <v>76286792</v>
      </c>
      <c r="F975" s="7" t="s">
        <v>2662</v>
      </c>
      <c r="G975" s="7" t="s">
        <v>2663</v>
      </c>
      <c r="H975" s="7" t="s">
        <v>2664</v>
      </c>
      <c r="I975" s="9">
        <v>45300</v>
      </c>
    </row>
    <row r="976" spans="1:9" x14ac:dyDescent="0.15">
      <c r="A976" s="6">
        <v>975</v>
      </c>
      <c r="B976" s="7" t="s">
        <v>9</v>
      </c>
      <c r="C976" s="8">
        <v>1883</v>
      </c>
      <c r="D976" s="9">
        <v>45395</v>
      </c>
      <c r="E976" s="13" t="str">
        <f>+HYPERLINK("http://trademark.i-assist.jp/data/china/image_1883th/76287104.pdf","76287104")</f>
        <v>76287104</v>
      </c>
      <c r="F976" s="7" t="s">
        <v>2665</v>
      </c>
      <c r="G976" s="7" t="s">
        <v>2666</v>
      </c>
      <c r="H976" s="7" t="s">
        <v>2667</v>
      </c>
      <c r="I976" s="9">
        <v>45300</v>
      </c>
    </row>
    <row r="977" spans="1:9" x14ac:dyDescent="0.15">
      <c r="A977" s="6">
        <v>976</v>
      </c>
      <c r="B977" s="7" t="s">
        <v>9</v>
      </c>
      <c r="C977" s="8">
        <v>1883</v>
      </c>
      <c r="D977" s="9">
        <v>45395</v>
      </c>
      <c r="E977" s="13" t="str">
        <f>+HYPERLINK("http://trademark.i-assist.jp/data/china/image_1883th/76287129.pdf","76287129")</f>
        <v>76287129</v>
      </c>
      <c r="F977" s="7" t="s">
        <v>2668</v>
      </c>
      <c r="G977" s="7" t="s">
        <v>1783</v>
      </c>
      <c r="H977" s="7" t="s">
        <v>2669</v>
      </c>
      <c r="I977" s="9">
        <v>45300</v>
      </c>
    </row>
    <row r="978" spans="1:9" x14ac:dyDescent="0.15">
      <c r="A978" s="6">
        <v>977</v>
      </c>
      <c r="B978" s="7" t="s">
        <v>9</v>
      </c>
      <c r="C978" s="8">
        <v>1883</v>
      </c>
      <c r="D978" s="9">
        <v>45395</v>
      </c>
      <c r="E978" s="13" t="str">
        <f>+HYPERLINK("http://trademark.i-assist.jp/data/china/image_1883th/76287147.pdf","76287147")</f>
        <v>76287147</v>
      </c>
      <c r="F978" s="7" t="s">
        <v>2670</v>
      </c>
      <c r="G978" s="7" t="s">
        <v>2521</v>
      </c>
      <c r="H978" s="7" t="s">
        <v>2671</v>
      </c>
      <c r="I978" s="9">
        <v>45300</v>
      </c>
    </row>
    <row r="979" spans="1:9" x14ac:dyDescent="0.15">
      <c r="A979" s="6">
        <v>978</v>
      </c>
      <c r="B979" s="7" t="s">
        <v>9</v>
      </c>
      <c r="C979" s="8">
        <v>1883</v>
      </c>
      <c r="D979" s="9">
        <v>45395</v>
      </c>
      <c r="E979" s="13" t="str">
        <f>+HYPERLINK("http://trademark.i-assist.jp/data/china/image_1883th/76287252.pdf","76287252")</f>
        <v>76287252</v>
      </c>
      <c r="F979" s="7" t="s">
        <v>2672</v>
      </c>
      <c r="G979" s="7" t="s">
        <v>2673</v>
      </c>
      <c r="H979" s="7" t="s">
        <v>2674</v>
      </c>
      <c r="I979" s="9">
        <v>45300</v>
      </c>
    </row>
    <row r="980" spans="1:9" x14ac:dyDescent="0.15">
      <c r="A980" s="6">
        <v>979</v>
      </c>
      <c r="B980" s="7" t="s">
        <v>9</v>
      </c>
      <c r="C980" s="8">
        <v>1883</v>
      </c>
      <c r="D980" s="9">
        <v>45395</v>
      </c>
      <c r="E980" s="13" t="str">
        <f>+HYPERLINK("http://trademark.i-assist.jp/data/china/image_1883th/76287418.pdf","76287418")</f>
        <v>76287418</v>
      </c>
      <c r="F980" s="7" t="s">
        <v>2675</v>
      </c>
      <c r="G980" s="7" t="s">
        <v>2676</v>
      </c>
      <c r="H980" s="7" t="s">
        <v>2677</v>
      </c>
      <c r="I980" s="9">
        <v>45300</v>
      </c>
    </row>
    <row r="981" spans="1:9" x14ac:dyDescent="0.15">
      <c r="A981" s="6">
        <v>980</v>
      </c>
      <c r="B981" s="7" t="s">
        <v>9</v>
      </c>
      <c r="C981" s="8">
        <v>1883</v>
      </c>
      <c r="D981" s="9">
        <v>45395</v>
      </c>
      <c r="E981" s="13" t="str">
        <f>+HYPERLINK("http://trademark.i-assist.jp/data/china/image_1883th/76287594.pdf","76287594")</f>
        <v>76287594</v>
      </c>
      <c r="F981" s="7" t="s">
        <v>2678</v>
      </c>
      <c r="G981" s="7" t="s">
        <v>2679</v>
      </c>
      <c r="H981" s="7" t="s">
        <v>2680</v>
      </c>
      <c r="I981" s="9">
        <v>45300</v>
      </c>
    </row>
    <row r="982" spans="1:9" x14ac:dyDescent="0.15">
      <c r="A982" s="6">
        <v>981</v>
      </c>
      <c r="B982" s="7" t="s">
        <v>9</v>
      </c>
      <c r="C982" s="8">
        <v>1883</v>
      </c>
      <c r="D982" s="9">
        <v>45395</v>
      </c>
      <c r="E982" s="13" t="str">
        <f>+HYPERLINK("http://trademark.i-assist.jp/data/china/image_1883th/76287624.pdf","76287624")</f>
        <v>76287624</v>
      </c>
      <c r="F982" s="7" t="s">
        <v>2681</v>
      </c>
      <c r="G982" s="7" t="s">
        <v>2682</v>
      </c>
      <c r="H982" s="7" t="s">
        <v>2683</v>
      </c>
      <c r="I982" s="9">
        <v>45300</v>
      </c>
    </row>
    <row r="983" spans="1:9" x14ac:dyDescent="0.15">
      <c r="A983" s="6">
        <v>982</v>
      </c>
      <c r="B983" s="7" t="s">
        <v>9</v>
      </c>
      <c r="C983" s="8">
        <v>1883</v>
      </c>
      <c r="D983" s="9">
        <v>45395</v>
      </c>
      <c r="E983" s="13" t="str">
        <f>+HYPERLINK("http://trademark.i-assist.jp/data/china/image_1883th/76288053.pdf","76288053")</f>
        <v>76288053</v>
      </c>
      <c r="F983" s="7" t="s">
        <v>2684</v>
      </c>
      <c r="G983" s="7" t="s">
        <v>2685</v>
      </c>
      <c r="H983" s="7" t="s">
        <v>2686</v>
      </c>
      <c r="I983" s="9">
        <v>45300</v>
      </c>
    </row>
    <row r="984" spans="1:9" ht="27" x14ac:dyDescent="0.15">
      <c r="A984" s="6">
        <v>983</v>
      </c>
      <c r="B984" s="7" t="s">
        <v>9</v>
      </c>
      <c r="C984" s="8">
        <v>1883</v>
      </c>
      <c r="D984" s="9">
        <v>45395</v>
      </c>
      <c r="E984" s="13" t="str">
        <f>+HYPERLINK("http://trademark.i-assist.jp/data/china/image_1883th/76289252.pdf","76289252")</f>
        <v>76289252</v>
      </c>
      <c r="F984" s="7" t="s">
        <v>2687</v>
      </c>
      <c r="G984" s="7" t="s">
        <v>2688</v>
      </c>
      <c r="H984" s="7" t="s">
        <v>2689</v>
      </c>
      <c r="I984" s="9">
        <v>45300</v>
      </c>
    </row>
    <row r="985" spans="1:9" x14ac:dyDescent="0.15">
      <c r="A985" s="6">
        <v>984</v>
      </c>
      <c r="B985" s="7" t="s">
        <v>9</v>
      </c>
      <c r="C985" s="8">
        <v>1883</v>
      </c>
      <c r="D985" s="9">
        <v>45395</v>
      </c>
      <c r="E985" s="13" t="str">
        <f>+HYPERLINK("http://trademark.i-assist.jp/data/china/image_1883th/76289449.pdf","76289449")</f>
        <v>76289449</v>
      </c>
      <c r="F985" s="7" t="s">
        <v>2690</v>
      </c>
      <c r="G985" s="7" t="s">
        <v>2691</v>
      </c>
      <c r="H985" s="7" t="s">
        <v>2692</v>
      </c>
      <c r="I985" s="9">
        <v>45300</v>
      </c>
    </row>
    <row r="986" spans="1:9" x14ac:dyDescent="0.15">
      <c r="A986" s="6">
        <v>985</v>
      </c>
      <c r="B986" s="7" t="s">
        <v>9</v>
      </c>
      <c r="C986" s="8">
        <v>1883</v>
      </c>
      <c r="D986" s="9">
        <v>45395</v>
      </c>
      <c r="E986" s="13" t="str">
        <f>+HYPERLINK("http://trademark.i-assist.jp/data/china/image_1883th/76289567.pdf","76289567")</f>
        <v>76289567</v>
      </c>
      <c r="F986" s="7" t="s">
        <v>2693</v>
      </c>
      <c r="G986" s="7" t="s">
        <v>2694</v>
      </c>
      <c r="H986" s="7" t="s">
        <v>2695</v>
      </c>
      <c r="I986" s="9">
        <v>45300</v>
      </c>
    </row>
    <row r="987" spans="1:9" x14ac:dyDescent="0.15">
      <c r="A987" s="6">
        <v>986</v>
      </c>
      <c r="B987" s="7" t="s">
        <v>9</v>
      </c>
      <c r="C987" s="8">
        <v>1883</v>
      </c>
      <c r="D987" s="9">
        <v>45395</v>
      </c>
      <c r="E987" s="13" t="str">
        <f>+HYPERLINK("http://trademark.i-assist.jp/data/china/image_1883th/76289909.pdf","76289909")</f>
        <v>76289909</v>
      </c>
      <c r="F987" s="7" t="s">
        <v>2696</v>
      </c>
      <c r="G987" s="7" t="s">
        <v>2697</v>
      </c>
      <c r="H987" s="7" t="s">
        <v>2698</v>
      </c>
      <c r="I987" s="9">
        <v>45300</v>
      </c>
    </row>
    <row r="988" spans="1:9" x14ac:dyDescent="0.15">
      <c r="A988" s="6">
        <v>987</v>
      </c>
      <c r="B988" s="7" t="s">
        <v>9</v>
      </c>
      <c r="C988" s="8">
        <v>1883</v>
      </c>
      <c r="D988" s="9">
        <v>45395</v>
      </c>
      <c r="E988" s="13" t="str">
        <f>+HYPERLINK("http://trademark.i-assist.jp/data/china/image_1883th/76290212.pdf","76290212")</f>
        <v>76290212</v>
      </c>
      <c r="F988" s="7" t="s">
        <v>2699</v>
      </c>
      <c r="G988" s="7" t="s">
        <v>2700</v>
      </c>
      <c r="H988" s="7" t="s">
        <v>2701</v>
      </c>
      <c r="I988" s="9">
        <v>45300</v>
      </c>
    </row>
    <row r="989" spans="1:9" x14ac:dyDescent="0.15">
      <c r="A989" s="6">
        <v>988</v>
      </c>
      <c r="B989" s="7" t="s">
        <v>9</v>
      </c>
      <c r="C989" s="8">
        <v>1883</v>
      </c>
      <c r="D989" s="9">
        <v>45395</v>
      </c>
      <c r="E989" s="13" t="str">
        <f>+HYPERLINK("http://trademark.i-assist.jp/data/china/image_1883th/76290234.pdf","76290234")</f>
        <v>76290234</v>
      </c>
      <c r="F989" s="7" t="s">
        <v>2702</v>
      </c>
      <c r="G989" s="7" t="s">
        <v>2478</v>
      </c>
      <c r="H989" s="7" t="s">
        <v>2703</v>
      </c>
      <c r="I989" s="9">
        <v>45300</v>
      </c>
    </row>
    <row r="990" spans="1:9" x14ac:dyDescent="0.15">
      <c r="A990" s="6">
        <v>989</v>
      </c>
      <c r="B990" s="7" t="s">
        <v>9</v>
      </c>
      <c r="C990" s="8">
        <v>1883</v>
      </c>
      <c r="D990" s="9">
        <v>45395</v>
      </c>
      <c r="E990" s="13" t="str">
        <f>+HYPERLINK("http://trademark.i-assist.jp/data/china/image_1883th/76290537.pdf","76290537")</f>
        <v>76290537</v>
      </c>
      <c r="F990" s="7" t="s">
        <v>2704</v>
      </c>
      <c r="G990" s="7" t="s">
        <v>2705</v>
      </c>
      <c r="H990" s="7" t="s">
        <v>2706</v>
      </c>
      <c r="I990" s="9">
        <v>45300</v>
      </c>
    </row>
    <row r="991" spans="1:9" x14ac:dyDescent="0.15">
      <c r="A991" s="6">
        <v>990</v>
      </c>
      <c r="B991" s="7" t="s">
        <v>9</v>
      </c>
      <c r="C991" s="8">
        <v>1883</v>
      </c>
      <c r="D991" s="9">
        <v>45395</v>
      </c>
      <c r="E991" s="13" t="str">
        <f>+HYPERLINK("http://trademark.i-assist.jp/data/china/image_1883th/76290655.pdf","76290655")</f>
        <v>76290655</v>
      </c>
      <c r="F991" s="7" t="s">
        <v>2707</v>
      </c>
      <c r="G991" s="7" t="s">
        <v>2708</v>
      </c>
      <c r="H991" s="7" t="s">
        <v>2709</v>
      </c>
      <c r="I991" s="9">
        <v>45300</v>
      </c>
    </row>
    <row r="992" spans="1:9" x14ac:dyDescent="0.15">
      <c r="A992" s="6">
        <v>991</v>
      </c>
      <c r="B992" s="7" t="s">
        <v>9</v>
      </c>
      <c r="C992" s="8">
        <v>1883</v>
      </c>
      <c r="D992" s="9">
        <v>45395</v>
      </c>
      <c r="E992" s="13" t="str">
        <f>+HYPERLINK("http://trademark.i-assist.jp/data/china/image_1883th/76290684.pdf","76290684")</f>
        <v>76290684</v>
      </c>
      <c r="F992" s="7" t="s">
        <v>2710</v>
      </c>
      <c r="G992" s="7" t="s">
        <v>903</v>
      </c>
      <c r="H992" s="7" t="s">
        <v>2711</v>
      </c>
      <c r="I992" s="9">
        <v>45300</v>
      </c>
    </row>
    <row r="993" spans="1:9" x14ac:dyDescent="0.15">
      <c r="A993" s="6">
        <v>992</v>
      </c>
      <c r="B993" s="7" t="s">
        <v>9</v>
      </c>
      <c r="C993" s="8">
        <v>1883</v>
      </c>
      <c r="D993" s="9">
        <v>45395</v>
      </c>
      <c r="E993" s="13" t="str">
        <f>+HYPERLINK("http://trademark.i-assist.jp/data/china/image_1883th/76290793.pdf","76290793")</f>
        <v>76290793</v>
      </c>
      <c r="F993" s="7" t="s">
        <v>2712</v>
      </c>
      <c r="G993" s="7" t="s">
        <v>2713</v>
      </c>
      <c r="H993" s="7" t="s">
        <v>2714</v>
      </c>
      <c r="I993" s="9">
        <v>45300</v>
      </c>
    </row>
    <row r="994" spans="1:9" x14ac:dyDescent="0.15">
      <c r="A994" s="6">
        <v>993</v>
      </c>
      <c r="B994" s="7" t="s">
        <v>9</v>
      </c>
      <c r="C994" s="8">
        <v>1883</v>
      </c>
      <c r="D994" s="9">
        <v>45395</v>
      </c>
      <c r="E994" s="13" t="str">
        <f>+HYPERLINK("http://trademark.i-assist.jp/data/china/image_1883th/76290851.pdf","76290851")</f>
        <v>76290851</v>
      </c>
      <c r="F994" s="7" t="s">
        <v>2715</v>
      </c>
      <c r="G994" s="7" t="s">
        <v>2716</v>
      </c>
      <c r="H994" s="7" t="s">
        <v>2717</v>
      </c>
      <c r="I994" s="9">
        <v>45300</v>
      </c>
    </row>
    <row r="995" spans="1:9" x14ac:dyDescent="0.15">
      <c r="A995" s="6">
        <v>994</v>
      </c>
      <c r="B995" s="7" t="s">
        <v>9</v>
      </c>
      <c r="C995" s="8">
        <v>1883</v>
      </c>
      <c r="D995" s="9">
        <v>45395</v>
      </c>
      <c r="E995" s="13" t="str">
        <f>+HYPERLINK("http://trademark.i-assist.jp/data/china/image_1883th/76290872.pdf","76290872")</f>
        <v>76290872</v>
      </c>
      <c r="F995" s="7" t="s">
        <v>2718</v>
      </c>
      <c r="G995" s="7" t="s">
        <v>2719</v>
      </c>
      <c r="H995" s="7" t="s">
        <v>2720</v>
      </c>
      <c r="I995" s="9">
        <v>45300</v>
      </c>
    </row>
    <row r="996" spans="1:9" x14ac:dyDescent="0.15">
      <c r="A996" s="6">
        <v>995</v>
      </c>
      <c r="B996" s="7" t="s">
        <v>9</v>
      </c>
      <c r="C996" s="8">
        <v>1883</v>
      </c>
      <c r="D996" s="9">
        <v>45395</v>
      </c>
      <c r="E996" s="13" t="str">
        <f>+HYPERLINK("http://trademark.i-assist.jp/data/china/image_1883th/76291290.pdf","76291290")</f>
        <v>76291290</v>
      </c>
      <c r="F996" s="7" t="s">
        <v>2721</v>
      </c>
      <c r="G996" s="7" t="s">
        <v>2722</v>
      </c>
      <c r="H996" s="7" t="s">
        <v>2723</v>
      </c>
      <c r="I996" s="9">
        <v>45300</v>
      </c>
    </row>
    <row r="997" spans="1:9" x14ac:dyDescent="0.15">
      <c r="A997" s="6">
        <v>996</v>
      </c>
      <c r="B997" s="7" t="s">
        <v>9</v>
      </c>
      <c r="C997" s="8">
        <v>1883</v>
      </c>
      <c r="D997" s="9">
        <v>45395</v>
      </c>
      <c r="E997" s="13" t="str">
        <f>+HYPERLINK("http://trademark.i-assist.jp/data/china/image_1883th/76291454.pdf","76291454")</f>
        <v>76291454</v>
      </c>
      <c r="F997" s="7" t="s">
        <v>2724</v>
      </c>
      <c r="G997" s="7" t="s">
        <v>2725</v>
      </c>
      <c r="H997" s="7" t="s">
        <v>2726</v>
      </c>
      <c r="I997" s="9">
        <v>45300</v>
      </c>
    </row>
    <row r="998" spans="1:9" x14ac:dyDescent="0.15">
      <c r="A998" s="6">
        <v>997</v>
      </c>
      <c r="B998" s="7" t="s">
        <v>9</v>
      </c>
      <c r="C998" s="8">
        <v>1883</v>
      </c>
      <c r="D998" s="9">
        <v>45395</v>
      </c>
      <c r="E998" s="13" t="str">
        <f>+HYPERLINK("http://trademark.i-assist.jp/data/china/image_1883th/76291581.pdf","76291581")</f>
        <v>76291581</v>
      </c>
      <c r="F998" s="7" t="s">
        <v>2727</v>
      </c>
      <c r="G998" s="7" t="s">
        <v>2691</v>
      </c>
      <c r="H998" s="7" t="s">
        <v>2728</v>
      </c>
      <c r="I998" s="9">
        <v>45300</v>
      </c>
    </row>
    <row r="999" spans="1:9" x14ac:dyDescent="0.15">
      <c r="A999" s="6">
        <v>998</v>
      </c>
      <c r="B999" s="7" t="s">
        <v>9</v>
      </c>
      <c r="C999" s="8">
        <v>1883</v>
      </c>
      <c r="D999" s="9">
        <v>45395</v>
      </c>
      <c r="E999" s="13" t="str">
        <f>+HYPERLINK("http://trademark.i-assist.jp/data/china/image_1883th/76291604.pdf","76291604")</f>
        <v>76291604</v>
      </c>
      <c r="F999" s="7" t="s">
        <v>2729</v>
      </c>
      <c r="G999" s="7" t="s">
        <v>1783</v>
      </c>
      <c r="H999" s="7" t="s">
        <v>2730</v>
      </c>
      <c r="I999" s="9">
        <v>45300</v>
      </c>
    </row>
    <row r="1000" spans="1:9" x14ac:dyDescent="0.15">
      <c r="A1000" s="6">
        <v>999</v>
      </c>
      <c r="B1000" s="7" t="s">
        <v>9</v>
      </c>
      <c r="C1000" s="8">
        <v>1883</v>
      </c>
      <c r="D1000" s="9">
        <v>45395</v>
      </c>
      <c r="E1000" s="13" t="str">
        <f>+HYPERLINK("http://trademark.i-assist.jp/data/china/image_1883th/76291669.pdf","76291669")</f>
        <v>76291669</v>
      </c>
      <c r="F1000" s="7" t="s">
        <v>2731</v>
      </c>
      <c r="G1000" s="7" t="s">
        <v>2732</v>
      </c>
      <c r="H1000" s="7" t="s">
        <v>2733</v>
      </c>
      <c r="I1000" s="9">
        <v>45300</v>
      </c>
    </row>
    <row r="1001" spans="1:9" x14ac:dyDescent="0.15">
      <c r="A1001" s="6">
        <v>1000</v>
      </c>
      <c r="B1001" s="7" t="s">
        <v>9</v>
      </c>
      <c r="C1001" s="8">
        <v>1883</v>
      </c>
      <c r="D1001" s="9">
        <v>45395</v>
      </c>
      <c r="E1001" s="13" t="str">
        <f>+HYPERLINK("http://trademark.i-assist.jp/data/china/image_1883th/76291705.pdf","76291705")</f>
        <v>76291705</v>
      </c>
      <c r="F1001" s="7" t="s">
        <v>2734</v>
      </c>
      <c r="G1001" s="7" t="s">
        <v>2735</v>
      </c>
      <c r="H1001" s="7" t="s">
        <v>2736</v>
      </c>
      <c r="I1001" s="9">
        <v>45300</v>
      </c>
    </row>
    <row r="1002" spans="1:9" x14ac:dyDescent="0.15">
      <c r="A1002" s="6">
        <v>1001</v>
      </c>
      <c r="B1002" s="7" t="s">
        <v>9</v>
      </c>
      <c r="C1002" s="8">
        <v>1883</v>
      </c>
      <c r="D1002" s="9">
        <v>45395</v>
      </c>
      <c r="E1002" s="13" t="str">
        <f>+HYPERLINK("http://trademark.i-assist.jp/data/china/image_1883th/76291830.pdf","76291830")</f>
        <v>76291830</v>
      </c>
      <c r="F1002" s="7" t="s">
        <v>2737</v>
      </c>
      <c r="G1002" s="7" t="s">
        <v>2737</v>
      </c>
      <c r="H1002" s="7" t="s">
        <v>2738</v>
      </c>
      <c r="I1002" s="9">
        <v>45300</v>
      </c>
    </row>
    <row r="1003" spans="1:9" x14ac:dyDescent="0.15">
      <c r="A1003" s="6">
        <v>1002</v>
      </c>
      <c r="B1003" s="7" t="s">
        <v>9</v>
      </c>
      <c r="C1003" s="8">
        <v>1883</v>
      </c>
      <c r="D1003" s="9">
        <v>45395</v>
      </c>
      <c r="E1003" s="13" t="str">
        <f>+HYPERLINK("http://trademark.i-assist.jp/data/china/image_1883th/76291896.pdf","76291896")</f>
        <v>76291896</v>
      </c>
      <c r="F1003" s="7" t="s">
        <v>2739</v>
      </c>
      <c r="G1003" s="7" t="s">
        <v>2740</v>
      </c>
      <c r="H1003" s="7" t="s">
        <v>2741</v>
      </c>
      <c r="I1003" s="9">
        <v>45300</v>
      </c>
    </row>
    <row r="1004" spans="1:9" x14ac:dyDescent="0.15">
      <c r="A1004" s="6">
        <v>1003</v>
      </c>
      <c r="B1004" s="7" t="s">
        <v>9</v>
      </c>
      <c r="C1004" s="8">
        <v>1883</v>
      </c>
      <c r="D1004" s="9">
        <v>45395</v>
      </c>
      <c r="E1004" s="13" t="str">
        <f>+HYPERLINK("http://trademark.i-assist.jp/data/china/image_1883th/76292086.pdf","76292086")</f>
        <v>76292086</v>
      </c>
      <c r="F1004" s="7" t="s">
        <v>2742</v>
      </c>
      <c r="G1004" s="7" t="s">
        <v>2743</v>
      </c>
      <c r="H1004" s="7" t="s">
        <v>2744</v>
      </c>
      <c r="I1004" s="9">
        <v>45300</v>
      </c>
    </row>
    <row r="1005" spans="1:9" x14ac:dyDescent="0.15">
      <c r="A1005" s="6">
        <v>1004</v>
      </c>
      <c r="B1005" s="7" t="s">
        <v>9</v>
      </c>
      <c r="C1005" s="8">
        <v>1883</v>
      </c>
      <c r="D1005" s="9">
        <v>45395</v>
      </c>
      <c r="E1005" s="13" t="str">
        <f>+HYPERLINK("http://trademark.i-assist.jp/data/china/image_1883th/76292131.pdf","76292131")</f>
        <v>76292131</v>
      </c>
      <c r="F1005" s="7" t="s">
        <v>2745</v>
      </c>
      <c r="G1005" s="7" t="s">
        <v>2746</v>
      </c>
      <c r="H1005" s="7" t="s">
        <v>2747</v>
      </c>
      <c r="I1005" s="9">
        <v>45300</v>
      </c>
    </row>
    <row r="1006" spans="1:9" x14ac:dyDescent="0.15">
      <c r="A1006" s="6">
        <v>1005</v>
      </c>
      <c r="B1006" s="7" t="s">
        <v>9</v>
      </c>
      <c r="C1006" s="8">
        <v>1883</v>
      </c>
      <c r="D1006" s="9">
        <v>45395</v>
      </c>
      <c r="E1006" s="13" t="str">
        <f>+HYPERLINK("http://trademark.i-assist.jp/data/china/image_1883th/76292163.pdf","76292163")</f>
        <v>76292163</v>
      </c>
      <c r="F1006" s="7" t="s">
        <v>2748</v>
      </c>
      <c r="G1006" s="7" t="s">
        <v>2749</v>
      </c>
      <c r="H1006" s="7" t="s">
        <v>2750</v>
      </c>
      <c r="I1006" s="9">
        <v>45300</v>
      </c>
    </row>
    <row r="1007" spans="1:9" x14ac:dyDescent="0.15">
      <c r="A1007" s="6">
        <v>1006</v>
      </c>
      <c r="B1007" s="7" t="s">
        <v>9</v>
      </c>
      <c r="C1007" s="8">
        <v>1883</v>
      </c>
      <c r="D1007" s="9">
        <v>45395</v>
      </c>
      <c r="E1007" s="13" t="str">
        <f>+HYPERLINK("http://trademark.i-assist.jp/data/china/image_1883th/76292177.pdf","76292177")</f>
        <v>76292177</v>
      </c>
      <c r="F1007" s="7" t="s">
        <v>2751</v>
      </c>
      <c r="G1007" s="7" t="s">
        <v>2752</v>
      </c>
      <c r="H1007" s="7" t="s">
        <v>2753</v>
      </c>
      <c r="I1007" s="9">
        <v>45300</v>
      </c>
    </row>
    <row r="1008" spans="1:9" x14ac:dyDescent="0.15">
      <c r="A1008" s="6">
        <v>1007</v>
      </c>
      <c r="B1008" s="7" t="s">
        <v>9</v>
      </c>
      <c r="C1008" s="8">
        <v>1883</v>
      </c>
      <c r="D1008" s="9">
        <v>45395</v>
      </c>
      <c r="E1008" s="13" t="str">
        <f>+HYPERLINK("http://trademark.i-assist.jp/data/china/image_1883th/76292187.pdf","76292187")</f>
        <v>76292187</v>
      </c>
      <c r="F1008" s="7" t="s">
        <v>2754</v>
      </c>
      <c r="G1008" s="7" t="s">
        <v>2755</v>
      </c>
      <c r="H1008" s="7" t="s">
        <v>2756</v>
      </c>
      <c r="I1008" s="9">
        <v>45300</v>
      </c>
    </row>
    <row r="1009" spans="1:9" ht="27" x14ac:dyDescent="0.15">
      <c r="A1009" s="6">
        <v>1008</v>
      </c>
      <c r="B1009" s="7" t="s">
        <v>9</v>
      </c>
      <c r="C1009" s="8">
        <v>1883</v>
      </c>
      <c r="D1009" s="9">
        <v>45395</v>
      </c>
      <c r="E1009" s="13" t="str">
        <f>+HYPERLINK("http://trademark.i-assist.jp/data/china/image_1883th/76292205.pdf","76292205")</f>
        <v>76292205</v>
      </c>
      <c r="F1009" s="7" t="s">
        <v>2757</v>
      </c>
      <c r="G1009" s="7" t="s">
        <v>2758</v>
      </c>
      <c r="H1009" s="7" t="s">
        <v>2759</v>
      </c>
      <c r="I1009" s="9">
        <v>45300</v>
      </c>
    </row>
    <row r="1010" spans="1:9" x14ac:dyDescent="0.15">
      <c r="A1010" s="6">
        <v>1009</v>
      </c>
      <c r="B1010" s="7" t="s">
        <v>9</v>
      </c>
      <c r="C1010" s="8">
        <v>1883</v>
      </c>
      <c r="D1010" s="9">
        <v>45395</v>
      </c>
      <c r="E1010" s="13" t="str">
        <f>+HYPERLINK("http://trademark.i-assist.jp/data/china/image_1883th/76292335.pdf","76292335")</f>
        <v>76292335</v>
      </c>
      <c r="F1010" s="7" t="s">
        <v>2760</v>
      </c>
      <c r="G1010" s="7" t="s">
        <v>2761</v>
      </c>
      <c r="H1010" s="7" t="s">
        <v>2762</v>
      </c>
      <c r="I1010" s="9">
        <v>45300</v>
      </c>
    </row>
    <row r="1011" spans="1:9" x14ac:dyDescent="0.15">
      <c r="A1011" s="6">
        <v>1010</v>
      </c>
      <c r="B1011" s="7" t="s">
        <v>9</v>
      </c>
      <c r="C1011" s="8">
        <v>1883</v>
      </c>
      <c r="D1011" s="9">
        <v>45395</v>
      </c>
      <c r="E1011" s="13" t="str">
        <f>+HYPERLINK("http://trademark.i-assist.jp/data/china/image_1883th/76292461.pdf","76292461")</f>
        <v>76292461</v>
      </c>
      <c r="F1011" s="7" t="s">
        <v>2763</v>
      </c>
      <c r="G1011" s="7" t="s">
        <v>2764</v>
      </c>
      <c r="H1011" s="7" t="s">
        <v>2765</v>
      </c>
      <c r="I1011" s="9">
        <v>45300</v>
      </c>
    </row>
    <row r="1012" spans="1:9" x14ac:dyDescent="0.15">
      <c r="A1012" s="6">
        <v>1011</v>
      </c>
      <c r="B1012" s="7" t="s">
        <v>9</v>
      </c>
      <c r="C1012" s="8">
        <v>1883</v>
      </c>
      <c r="D1012" s="9">
        <v>45395</v>
      </c>
      <c r="E1012" s="13" t="str">
        <f>+HYPERLINK("http://trademark.i-assist.jp/data/china/image_1883th/76292553.pdf","76292553")</f>
        <v>76292553</v>
      </c>
      <c r="F1012" s="7" t="s">
        <v>2766</v>
      </c>
      <c r="G1012" s="7" t="s">
        <v>2767</v>
      </c>
      <c r="H1012" s="7" t="s">
        <v>2768</v>
      </c>
      <c r="I1012" s="9">
        <v>45300</v>
      </c>
    </row>
    <row r="1013" spans="1:9" x14ac:dyDescent="0.15">
      <c r="A1013" s="6">
        <v>1012</v>
      </c>
      <c r="B1013" s="7" t="s">
        <v>9</v>
      </c>
      <c r="C1013" s="8">
        <v>1883</v>
      </c>
      <c r="D1013" s="9">
        <v>45395</v>
      </c>
      <c r="E1013" s="13" t="str">
        <f>+HYPERLINK("http://trademark.i-assist.jp/data/china/image_1883th/76292727.pdf","76292727")</f>
        <v>76292727</v>
      </c>
      <c r="F1013" s="7" t="s">
        <v>2769</v>
      </c>
      <c r="G1013" s="7" t="s">
        <v>2697</v>
      </c>
      <c r="H1013" s="7" t="s">
        <v>2770</v>
      </c>
      <c r="I1013" s="9">
        <v>45300</v>
      </c>
    </row>
    <row r="1014" spans="1:9" x14ac:dyDescent="0.15">
      <c r="A1014" s="6">
        <v>1013</v>
      </c>
      <c r="B1014" s="7" t="s">
        <v>9</v>
      </c>
      <c r="C1014" s="8">
        <v>1883</v>
      </c>
      <c r="D1014" s="9">
        <v>45395</v>
      </c>
      <c r="E1014" s="13" t="str">
        <f>+HYPERLINK("http://trademark.i-assist.jp/data/china/image_1883th/76292811.pdf","76292811")</f>
        <v>76292811</v>
      </c>
      <c r="F1014" s="7" t="s">
        <v>2771</v>
      </c>
      <c r="G1014" s="7" t="s">
        <v>2685</v>
      </c>
      <c r="H1014" s="7" t="s">
        <v>2772</v>
      </c>
      <c r="I1014" s="9">
        <v>45300</v>
      </c>
    </row>
    <row r="1015" spans="1:9" x14ac:dyDescent="0.15">
      <c r="A1015" s="6">
        <v>1014</v>
      </c>
      <c r="B1015" s="7" t="s">
        <v>9</v>
      </c>
      <c r="C1015" s="8">
        <v>1883</v>
      </c>
      <c r="D1015" s="9">
        <v>45395</v>
      </c>
      <c r="E1015" s="13" t="str">
        <f>+HYPERLINK("http://trademark.i-assist.jp/data/china/image_1883th/76293364.pdf","76293364")</f>
        <v>76293364</v>
      </c>
      <c r="F1015" s="7" t="s">
        <v>2773</v>
      </c>
      <c r="G1015" s="7" t="s">
        <v>2774</v>
      </c>
      <c r="H1015" s="7" t="s">
        <v>2775</v>
      </c>
      <c r="I1015" s="9">
        <v>45301</v>
      </c>
    </row>
    <row r="1016" spans="1:9" ht="27" x14ac:dyDescent="0.15">
      <c r="A1016" s="6">
        <v>1015</v>
      </c>
      <c r="B1016" s="7" t="s">
        <v>9</v>
      </c>
      <c r="C1016" s="8">
        <v>1883</v>
      </c>
      <c r="D1016" s="9">
        <v>45395</v>
      </c>
      <c r="E1016" s="13" t="str">
        <f>+HYPERLINK("http://trademark.i-assist.jp/data/china/image_1883th/76294318.pdf","76294318")</f>
        <v>76294318</v>
      </c>
      <c r="F1016" s="7" t="s">
        <v>2776</v>
      </c>
      <c r="G1016" s="7" t="s">
        <v>2777</v>
      </c>
      <c r="H1016" s="7" t="s">
        <v>2778</v>
      </c>
      <c r="I1016" s="9">
        <v>45301</v>
      </c>
    </row>
    <row r="1017" spans="1:9" x14ac:dyDescent="0.15">
      <c r="A1017" s="6">
        <v>1016</v>
      </c>
      <c r="B1017" s="7" t="s">
        <v>9</v>
      </c>
      <c r="C1017" s="8">
        <v>1883</v>
      </c>
      <c r="D1017" s="9">
        <v>45395</v>
      </c>
      <c r="E1017" s="13" t="str">
        <f>+HYPERLINK("http://trademark.i-assist.jp/data/china/image_1883th/76295483.pdf","76295483")</f>
        <v>76295483</v>
      </c>
      <c r="F1017" s="7" t="s">
        <v>2779</v>
      </c>
      <c r="G1017" s="7" t="s">
        <v>2780</v>
      </c>
      <c r="H1017" s="7" t="s">
        <v>2781</v>
      </c>
      <c r="I1017" s="9">
        <v>45301</v>
      </c>
    </row>
    <row r="1018" spans="1:9" ht="27" x14ac:dyDescent="0.15">
      <c r="A1018" s="6">
        <v>1017</v>
      </c>
      <c r="B1018" s="7" t="s">
        <v>9</v>
      </c>
      <c r="C1018" s="8">
        <v>1883</v>
      </c>
      <c r="D1018" s="9">
        <v>45395</v>
      </c>
      <c r="E1018" s="13" t="str">
        <f>+HYPERLINK("http://trademark.i-assist.jp/data/china/image_1883th/76296586.pdf","76296586")</f>
        <v>76296586</v>
      </c>
      <c r="F1018" s="7" t="s">
        <v>2782</v>
      </c>
      <c r="G1018" s="7" t="s">
        <v>2783</v>
      </c>
      <c r="H1018" s="7" t="s">
        <v>2784</v>
      </c>
      <c r="I1018" s="9">
        <v>45301</v>
      </c>
    </row>
    <row r="1019" spans="1:9" x14ac:dyDescent="0.15">
      <c r="A1019" s="6">
        <v>1018</v>
      </c>
      <c r="B1019" s="7" t="s">
        <v>9</v>
      </c>
      <c r="C1019" s="8">
        <v>1883</v>
      </c>
      <c r="D1019" s="9">
        <v>45395</v>
      </c>
      <c r="E1019" s="13" t="str">
        <f>+HYPERLINK("http://trademark.i-assist.jp/data/china/image_1883th/76296794.pdf","76296794")</f>
        <v>76296794</v>
      </c>
      <c r="F1019" s="7" t="s">
        <v>2785</v>
      </c>
      <c r="G1019" s="7" t="s">
        <v>2786</v>
      </c>
      <c r="H1019" s="7" t="s">
        <v>2787</v>
      </c>
      <c r="I1019" s="9">
        <v>45301</v>
      </c>
    </row>
    <row r="1020" spans="1:9" ht="27" x14ac:dyDescent="0.15">
      <c r="A1020" s="6">
        <v>1019</v>
      </c>
      <c r="B1020" s="7" t="s">
        <v>9</v>
      </c>
      <c r="C1020" s="8">
        <v>1883</v>
      </c>
      <c r="D1020" s="9">
        <v>45395</v>
      </c>
      <c r="E1020" s="13" t="str">
        <f>+HYPERLINK("http://trademark.i-assist.jp/data/china/image_1883th/76296889.pdf","76296889")</f>
        <v>76296889</v>
      </c>
      <c r="F1020" s="7" t="s">
        <v>2788</v>
      </c>
      <c r="G1020" s="7" t="s">
        <v>2789</v>
      </c>
      <c r="H1020" s="7" t="s">
        <v>2790</v>
      </c>
      <c r="I1020" s="9">
        <v>45301</v>
      </c>
    </row>
    <row r="1021" spans="1:9" x14ac:dyDescent="0.15">
      <c r="A1021" s="6">
        <v>1020</v>
      </c>
      <c r="B1021" s="7" t="s">
        <v>9</v>
      </c>
      <c r="C1021" s="8">
        <v>1883</v>
      </c>
      <c r="D1021" s="9">
        <v>45395</v>
      </c>
      <c r="E1021" s="13" t="str">
        <f>+HYPERLINK("http://trademark.i-assist.jp/data/china/image_1883th/76298111.pdf","76298111")</f>
        <v>76298111</v>
      </c>
      <c r="F1021" s="7" t="s">
        <v>2791</v>
      </c>
      <c r="G1021" s="7" t="s">
        <v>2792</v>
      </c>
      <c r="H1021" s="7" t="s">
        <v>2793</v>
      </c>
      <c r="I1021" s="9">
        <v>45301</v>
      </c>
    </row>
    <row r="1022" spans="1:9" x14ac:dyDescent="0.15">
      <c r="A1022" s="6">
        <v>1021</v>
      </c>
      <c r="B1022" s="7" t="s">
        <v>9</v>
      </c>
      <c r="C1022" s="8">
        <v>1883</v>
      </c>
      <c r="D1022" s="9">
        <v>45395</v>
      </c>
      <c r="E1022" s="13" t="str">
        <f>+HYPERLINK("http://trademark.i-assist.jp/data/china/image_1883th/76298173.pdf","76298173")</f>
        <v>76298173</v>
      </c>
      <c r="F1022" s="7" t="s">
        <v>2794</v>
      </c>
      <c r="G1022" s="7" t="s">
        <v>2795</v>
      </c>
      <c r="H1022" s="7" t="s">
        <v>2796</v>
      </c>
      <c r="I1022" s="9">
        <v>45301</v>
      </c>
    </row>
    <row r="1023" spans="1:9" x14ac:dyDescent="0.15">
      <c r="A1023" s="6">
        <v>1022</v>
      </c>
      <c r="B1023" s="7" t="s">
        <v>9</v>
      </c>
      <c r="C1023" s="8">
        <v>1883</v>
      </c>
      <c r="D1023" s="9">
        <v>45395</v>
      </c>
      <c r="E1023" s="13" t="str">
        <f>+HYPERLINK("http://trademark.i-assist.jp/data/china/image_1883th/76299112.pdf","76299112")</f>
        <v>76299112</v>
      </c>
      <c r="F1023" s="7" t="s">
        <v>2797</v>
      </c>
      <c r="G1023" s="7" t="s">
        <v>2798</v>
      </c>
      <c r="H1023" s="7" t="s">
        <v>2799</v>
      </c>
      <c r="I1023" s="9">
        <v>45301</v>
      </c>
    </row>
    <row r="1024" spans="1:9" ht="27" x14ac:dyDescent="0.15">
      <c r="A1024" s="6">
        <v>1023</v>
      </c>
      <c r="B1024" s="7" t="s">
        <v>9</v>
      </c>
      <c r="C1024" s="8">
        <v>1883</v>
      </c>
      <c r="D1024" s="9">
        <v>45395</v>
      </c>
      <c r="E1024" s="13" t="str">
        <f>+HYPERLINK("http://trademark.i-assist.jp/data/china/image_1883th/76299406.pdf","76299406")</f>
        <v>76299406</v>
      </c>
      <c r="F1024" s="7" t="s">
        <v>2800</v>
      </c>
      <c r="G1024" s="7" t="s">
        <v>2801</v>
      </c>
      <c r="H1024" s="7" t="s">
        <v>2802</v>
      </c>
      <c r="I1024" s="9">
        <v>45301</v>
      </c>
    </row>
    <row r="1025" spans="1:9" x14ac:dyDescent="0.15">
      <c r="A1025" s="6">
        <v>1024</v>
      </c>
      <c r="B1025" s="7" t="s">
        <v>9</v>
      </c>
      <c r="C1025" s="8">
        <v>1883</v>
      </c>
      <c r="D1025" s="9">
        <v>45395</v>
      </c>
      <c r="E1025" s="13" t="str">
        <f>+HYPERLINK("http://trademark.i-assist.jp/data/china/image_1883th/76299536.pdf","76299536")</f>
        <v>76299536</v>
      </c>
      <c r="F1025" s="7" t="s">
        <v>2803</v>
      </c>
      <c r="G1025" s="7" t="s">
        <v>598</v>
      </c>
      <c r="H1025" s="7" t="s">
        <v>2804</v>
      </c>
      <c r="I1025" s="9">
        <v>45301</v>
      </c>
    </row>
    <row r="1026" spans="1:9" x14ac:dyDescent="0.15">
      <c r="A1026" s="6">
        <v>1025</v>
      </c>
      <c r="B1026" s="7" t="s">
        <v>9</v>
      </c>
      <c r="C1026" s="8">
        <v>1883</v>
      </c>
      <c r="D1026" s="9">
        <v>45395</v>
      </c>
      <c r="E1026" s="13" t="str">
        <f>+HYPERLINK("http://trademark.i-assist.jp/data/china/image_1883th/76299698.pdf","76299698")</f>
        <v>76299698</v>
      </c>
      <c r="F1026" s="7" t="s">
        <v>2805</v>
      </c>
      <c r="G1026" s="7" t="s">
        <v>2806</v>
      </c>
      <c r="H1026" s="7" t="s">
        <v>2807</v>
      </c>
      <c r="I1026" s="9">
        <v>45301</v>
      </c>
    </row>
    <row r="1027" spans="1:9" ht="27" x14ac:dyDescent="0.15">
      <c r="A1027" s="6">
        <v>1026</v>
      </c>
      <c r="B1027" s="7" t="s">
        <v>9</v>
      </c>
      <c r="C1027" s="8">
        <v>1883</v>
      </c>
      <c r="D1027" s="9">
        <v>45395</v>
      </c>
      <c r="E1027" s="13" t="str">
        <f>+HYPERLINK("http://trademark.i-assist.jp/data/china/image_1883th/76300948.pdf","76300948")</f>
        <v>76300948</v>
      </c>
      <c r="F1027" s="7" t="s">
        <v>2808</v>
      </c>
      <c r="G1027" s="7" t="s">
        <v>2809</v>
      </c>
      <c r="H1027" s="7" t="s">
        <v>2810</v>
      </c>
      <c r="I1027" s="9">
        <v>45301</v>
      </c>
    </row>
    <row r="1028" spans="1:9" x14ac:dyDescent="0.15">
      <c r="A1028" s="6">
        <v>1027</v>
      </c>
      <c r="B1028" s="7" t="s">
        <v>9</v>
      </c>
      <c r="C1028" s="8">
        <v>1883</v>
      </c>
      <c r="D1028" s="9">
        <v>45395</v>
      </c>
      <c r="E1028" s="13" t="str">
        <f>+HYPERLINK("http://trademark.i-assist.jp/data/china/image_1883th/76301009.pdf","76301009")</f>
        <v>76301009</v>
      </c>
      <c r="F1028" s="7" t="s">
        <v>2811</v>
      </c>
      <c r="G1028" s="7" t="s">
        <v>2812</v>
      </c>
      <c r="H1028" s="7" t="s">
        <v>2813</v>
      </c>
      <c r="I1028" s="9">
        <v>45301</v>
      </c>
    </row>
    <row r="1029" spans="1:9" x14ac:dyDescent="0.15">
      <c r="A1029" s="6">
        <v>1028</v>
      </c>
      <c r="B1029" s="7" t="s">
        <v>9</v>
      </c>
      <c r="C1029" s="8">
        <v>1883</v>
      </c>
      <c r="D1029" s="9">
        <v>45395</v>
      </c>
      <c r="E1029" s="13" t="str">
        <f>+HYPERLINK("http://trademark.i-assist.jp/data/china/image_1883th/76301074.pdf","76301074")</f>
        <v>76301074</v>
      </c>
      <c r="F1029" s="7" t="s">
        <v>2814</v>
      </c>
      <c r="G1029" s="7" t="s">
        <v>2815</v>
      </c>
      <c r="H1029" s="7" t="s">
        <v>2816</v>
      </c>
      <c r="I1029" s="9">
        <v>45301</v>
      </c>
    </row>
    <row r="1030" spans="1:9" x14ac:dyDescent="0.15">
      <c r="A1030" s="6">
        <v>1029</v>
      </c>
      <c r="B1030" s="7" t="s">
        <v>9</v>
      </c>
      <c r="C1030" s="8">
        <v>1883</v>
      </c>
      <c r="D1030" s="9">
        <v>45395</v>
      </c>
      <c r="E1030" s="13" t="str">
        <f>+HYPERLINK("http://trademark.i-assist.jp/data/china/image_1883th/76301162.pdf","76301162")</f>
        <v>76301162</v>
      </c>
      <c r="F1030" s="7" t="s">
        <v>2817</v>
      </c>
      <c r="G1030" s="7" t="s">
        <v>2818</v>
      </c>
      <c r="H1030" s="7" t="s">
        <v>2819</v>
      </c>
      <c r="I1030" s="9">
        <v>45301</v>
      </c>
    </row>
    <row r="1031" spans="1:9" ht="27" x14ac:dyDescent="0.15">
      <c r="A1031" s="6">
        <v>1030</v>
      </c>
      <c r="B1031" s="7" t="s">
        <v>9</v>
      </c>
      <c r="C1031" s="8">
        <v>1883</v>
      </c>
      <c r="D1031" s="9">
        <v>45395</v>
      </c>
      <c r="E1031" s="13" t="str">
        <f>+HYPERLINK("http://trademark.i-assist.jp/data/china/image_1883th/76301464.pdf","76301464")</f>
        <v>76301464</v>
      </c>
      <c r="F1031" s="7" t="s">
        <v>2820</v>
      </c>
      <c r="G1031" s="7" t="s">
        <v>1976</v>
      </c>
      <c r="H1031" s="7" t="s">
        <v>2821</v>
      </c>
      <c r="I1031" s="9">
        <v>45301</v>
      </c>
    </row>
    <row r="1032" spans="1:9" x14ac:dyDescent="0.15">
      <c r="A1032" s="6">
        <v>1031</v>
      </c>
      <c r="B1032" s="7" t="s">
        <v>9</v>
      </c>
      <c r="C1032" s="8">
        <v>1883</v>
      </c>
      <c r="D1032" s="9">
        <v>45395</v>
      </c>
      <c r="E1032" s="13" t="str">
        <f>+HYPERLINK("http://trademark.i-assist.jp/data/china/image_1883th/76301864.pdf","76301864")</f>
        <v>76301864</v>
      </c>
      <c r="F1032" s="7" t="s">
        <v>2822</v>
      </c>
      <c r="G1032" s="7" t="s">
        <v>2823</v>
      </c>
      <c r="H1032" s="7" t="s">
        <v>2824</v>
      </c>
      <c r="I1032" s="9">
        <v>45301</v>
      </c>
    </row>
    <row r="1033" spans="1:9" x14ac:dyDescent="0.15">
      <c r="A1033" s="6">
        <v>1032</v>
      </c>
      <c r="B1033" s="7" t="s">
        <v>9</v>
      </c>
      <c r="C1033" s="8">
        <v>1883</v>
      </c>
      <c r="D1033" s="9">
        <v>45395</v>
      </c>
      <c r="E1033" s="13" t="str">
        <f>+HYPERLINK("http://trademark.i-assist.jp/data/china/image_1883th/76301917.pdf","76301917")</f>
        <v>76301917</v>
      </c>
      <c r="F1033" s="7" t="s">
        <v>2825</v>
      </c>
      <c r="G1033" s="7" t="s">
        <v>2786</v>
      </c>
      <c r="H1033" s="7" t="s">
        <v>2826</v>
      </c>
      <c r="I1033" s="9">
        <v>45301</v>
      </c>
    </row>
    <row r="1034" spans="1:9" x14ac:dyDescent="0.15">
      <c r="A1034" s="6">
        <v>1033</v>
      </c>
      <c r="B1034" s="7" t="s">
        <v>9</v>
      </c>
      <c r="C1034" s="8">
        <v>1883</v>
      </c>
      <c r="D1034" s="9">
        <v>45395</v>
      </c>
      <c r="E1034" s="13" t="str">
        <f>+HYPERLINK("http://trademark.i-assist.jp/data/china/image_1883th/76301994.pdf","76301994")</f>
        <v>76301994</v>
      </c>
      <c r="F1034" s="7" t="s">
        <v>2827</v>
      </c>
      <c r="G1034" s="7" t="s">
        <v>2828</v>
      </c>
      <c r="H1034" s="7" t="s">
        <v>2829</v>
      </c>
      <c r="I1034" s="9">
        <v>45301</v>
      </c>
    </row>
    <row r="1035" spans="1:9" x14ac:dyDescent="0.15">
      <c r="A1035" s="6">
        <v>1034</v>
      </c>
      <c r="B1035" s="7" t="s">
        <v>9</v>
      </c>
      <c r="C1035" s="8">
        <v>1883</v>
      </c>
      <c r="D1035" s="9">
        <v>45395</v>
      </c>
      <c r="E1035" s="13" t="str">
        <f>+HYPERLINK("http://trademark.i-assist.jp/data/china/image_1883th/76302152.pdf","76302152")</f>
        <v>76302152</v>
      </c>
      <c r="F1035" s="7" t="s">
        <v>2830</v>
      </c>
      <c r="G1035" s="7" t="s">
        <v>2831</v>
      </c>
      <c r="H1035" s="7" t="s">
        <v>2832</v>
      </c>
      <c r="I1035" s="9">
        <v>45301</v>
      </c>
    </row>
    <row r="1036" spans="1:9" ht="27" x14ac:dyDescent="0.15">
      <c r="A1036" s="6">
        <v>1035</v>
      </c>
      <c r="B1036" s="7" t="s">
        <v>9</v>
      </c>
      <c r="C1036" s="8">
        <v>1883</v>
      </c>
      <c r="D1036" s="9">
        <v>45395</v>
      </c>
      <c r="E1036" s="13" t="str">
        <f>+HYPERLINK("http://trademark.i-assist.jp/data/china/image_1883th/76302480.pdf","76302480")</f>
        <v>76302480</v>
      </c>
      <c r="F1036" s="7" t="s">
        <v>2833</v>
      </c>
      <c r="G1036" s="7" t="s">
        <v>2834</v>
      </c>
      <c r="H1036" s="7" t="s">
        <v>2835</v>
      </c>
      <c r="I1036" s="9">
        <v>45301</v>
      </c>
    </row>
    <row r="1037" spans="1:9" x14ac:dyDescent="0.15">
      <c r="A1037" s="6">
        <v>1036</v>
      </c>
      <c r="B1037" s="7" t="s">
        <v>9</v>
      </c>
      <c r="C1037" s="8">
        <v>1883</v>
      </c>
      <c r="D1037" s="9">
        <v>45395</v>
      </c>
      <c r="E1037" s="13" t="str">
        <f>+HYPERLINK("http://trademark.i-assist.jp/data/china/image_1883th/76302642.pdf","76302642")</f>
        <v>76302642</v>
      </c>
      <c r="F1037" s="7" t="s">
        <v>2836</v>
      </c>
      <c r="G1037" s="7" t="s">
        <v>2837</v>
      </c>
      <c r="H1037" s="7" t="s">
        <v>2838</v>
      </c>
      <c r="I1037" s="9">
        <v>45301</v>
      </c>
    </row>
    <row r="1038" spans="1:9" x14ac:dyDescent="0.15">
      <c r="A1038" s="6">
        <v>1037</v>
      </c>
      <c r="B1038" s="7" t="s">
        <v>9</v>
      </c>
      <c r="C1038" s="8">
        <v>1883</v>
      </c>
      <c r="D1038" s="9">
        <v>45395</v>
      </c>
      <c r="E1038" s="13" t="str">
        <f>+HYPERLINK("http://trademark.i-assist.jp/data/china/image_1883th/76303256.pdf","76303256")</f>
        <v>76303256</v>
      </c>
      <c r="F1038" s="7" t="s">
        <v>2839</v>
      </c>
      <c r="G1038" s="7" t="s">
        <v>2840</v>
      </c>
      <c r="H1038" s="7" t="s">
        <v>2841</v>
      </c>
      <c r="I1038" s="9">
        <v>45301</v>
      </c>
    </row>
    <row r="1039" spans="1:9" x14ac:dyDescent="0.15">
      <c r="A1039" s="6">
        <v>1038</v>
      </c>
      <c r="B1039" s="7" t="s">
        <v>9</v>
      </c>
      <c r="C1039" s="8">
        <v>1883</v>
      </c>
      <c r="D1039" s="9">
        <v>45395</v>
      </c>
      <c r="E1039" s="13" t="str">
        <f>+HYPERLINK("http://trademark.i-assist.jp/data/china/image_1883th/76303317.pdf","76303317")</f>
        <v>76303317</v>
      </c>
      <c r="F1039" s="7" t="s">
        <v>2842</v>
      </c>
      <c r="G1039" s="7" t="s">
        <v>2843</v>
      </c>
      <c r="H1039" s="7" t="s">
        <v>2844</v>
      </c>
      <c r="I1039" s="9">
        <v>45301</v>
      </c>
    </row>
    <row r="1040" spans="1:9" x14ac:dyDescent="0.15">
      <c r="A1040" s="6">
        <v>1039</v>
      </c>
      <c r="B1040" s="7" t="s">
        <v>9</v>
      </c>
      <c r="C1040" s="8">
        <v>1883</v>
      </c>
      <c r="D1040" s="9">
        <v>45395</v>
      </c>
      <c r="E1040" s="13" t="str">
        <f>+HYPERLINK("http://trademark.i-assist.jp/data/china/image_1883th/76303509.pdf","76303509")</f>
        <v>76303509</v>
      </c>
      <c r="F1040" s="7" t="s">
        <v>2845</v>
      </c>
      <c r="G1040" s="7" t="s">
        <v>2846</v>
      </c>
      <c r="H1040" s="7" t="s">
        <v>2847</v>
      </c>
      <c r="I1040" s="9">
        <v>45301</v>
      </c>
    </row>
    <row r="1041" spans="1:9" ht="27" x14ac:dyDescent="0.15">
      <c r="A1041" s="6">
        <v>1040</v>
      </c>
      <c r="B1041" s="7" t="s">
        <v>9</v>
      </c>
      <c r="C1041" s="8">
        <v>1883</v>
      </c>
      <c r="D1041" s="9">
        <v>45395</v>
      </c>
      <c r="E1041" s="13" t="str">
        <f>+HYPERLINK("http://trademark.i-assist.jp/data/china/image_1883th/76303919.pdf","76303919")</f>
        <v>76303919</v>
      </c>
      <c r="F1041" s="7" t="s">
        <v>57</v>
      </c>
      <c r="G1041" s="7" t="s">
        <v>2848</v>
      </c>
      <c r="H1041" s="7" t="s">
        <v>2849</v>
      </c>
      <c r="I1041" s="9">
        <v>45301</v>
      </c>
    </row>
    <row r="1042" spans="1:9" x14ac:dyDescent="0.15">
      <c r="A1042" s="6">
        <v>1041</v>
      </c>
      <c r="B1042" s="7" t="s">
        <v>9</v>
      </c>
      <c r="C1042" s="8">
        <v>1883</v>
      </c>
      <c r="D1042" s="9">
        <v>45395</v>
      </c>
      <c r="E1042" s="13" t="str">
        <f>+HYPERLINK("http://trademark.i-assist.jp/data/china/image_1883th/76304244.pdf","76304244")</f>
        <v>76304244</v>
      </c>
      <c r="F1042" s="7" t="s">
        <v>2850</v>
      </c>
      <c r="G1042" s="7" t="s">
        <v>2786</v>
      </c>
      <c r="H1042" s="7" t="s">
        <v>2851</v>
      </c>
      <c r="I1042" s="9">
        <v>45301</v>
      </c>
    </row>
    <row r="1043" spans="1:9" ht="27" x14ac:dyDescent="0.15">
      <c r="A1043" s="6">
        <v>1042</v>
      </c>
      <c r="B1043" s="7" t="s">
        <v>9</v>
      </c>
      <c r="C1043" s="8">
        <v>1883</v>
      </c>
      <c r="D1043" s="9">
        <v>45395</v>
      </c>
      <c r="E1043" s="13" t="str">
        <f>+HYPERLINK("http://trademark.i-assist.jp/data/china/image_1883th/76304416.pdf","76304416")</f>
        <v>76304416</v>
      </c>
      <c r="F1043" s="7" t="s">
        <v>2852</v>
      </c>
      <c r="G1043" s="7" t="s">
        <v>2801</v>
      </c>
      <c r="H1043" s="7" t="s">
        <v>2853</v>
      </c>
      <c r="I1043" s="9">
        <v>45301</v>
      </c>
    </row>
    <row r="1044" spans="1:9" ht="27" x14ac:dyDescent="0.15">
      <c r="A1044" s="6">
        <v>1043</v>
      </c>
      <c r="B1044" s="7" t="s">
        <v>9</v>
      </c>
      <c r="C1044" s="8">
        <v>1883</v>
      </c>
      <c r="D1044" s="9">
        <v>45395</v>
      </c>
      <c r="E1044" s="13" t="str">
        <f>+HYPERLINK("http://trademark.i-assist.jp/data/china/image_1883th/76304501.pdf","76304501")</f>
        <v>76304501</v>
      </c>
      <c r="F1044" s="7" t="s">
        <v>2854</v>
      </c>
      <c r="G1044" s="7" t="s">
        <v>2855</v>
      </c>
      <c r="H1044" s="7" t="s">
        <v>2856</v>
      </c>
      <c r="I1044" s="9">
        <v>45301</v>
      </c>
    </row>
    <row r="1045" spans="1:9" x14ac:dyDescent="0.15">
      <c r="A1045" s="6">
        <v>1044</v>
      </c>
      <c r="B1045" s="7" t="s">
        <v>9</v>
      </c>
      <c r="C1045" s="8">
        <v>1883</v>
      </c>
      <c r="D1045" s="9">
        <v>45395</v>
      </c>
      <c r="E1045" s="13" t="str">
        <f>+HYPERLINK("http://trademark.i-assist.jp/data/china/image_1883th/76305361.pdf","76305361")</f>
        <v>76305361</v>
      </c>
      <c r="F1045" s="7" t="s">
        <v>2857</v>
      </c>
      <c r="G1045" s="7" t="s">
        <v>2858</v>
      </c>
      <c r="H1045" s="7" t="s">
        <v>2859</v>
      </c>
      <c r="I1045" s="9">
        <v>45301</v>
      </c>
    </row>
    <row r="1046" spans="1:9" ht="27" x14ac:dyDescent="0.15">
      <c r="A1046" s="6">
        <v>1045</v>
      </c>
      <c r="B1046" s="7" t="s">
        <v>9</v>
      </c>
      <c r="C1046" s="8">
        <v>1883</v>
      </c>
      <c r="D1046" s="9">
        <v>45395</v>
      </c>
      <c r="E1046" s="13" t="str">
        <f>+HYPERLINK("http://trademark.i-assist.jp/data/china/image_1883th/76305569.pdf","76305569")</f>
        <v>76305569</v>
      </c>
      <c r="F1046" s="7" t="s">
        <v>2860</v>
      </c>
      <c r="G1046" s="7" t="s">
        <v>2861</v>
      </c>
      <c r="H1046" s="7" t="s">
        <v>2862</v>
      </c>
      <c r="I1046" s="9">
        <v>45301</v>
      </c>
    </row>
    <row r="1047" spans="1:9" ht="27" x14ac:dyDescent="0.15">
      <c r="A1047" s="6">
        <v>1046</v>
      </c>
      <c r="B1047" s="7" t="s">
        <v>9</v>
      </c>
      <c r="C1047" s="8">
        <v>1883</v>
      </c>
      <c r="D1047" s="9">
        <v>45395</v>
      </c>
      <c r="E1047" s="13" t="str">
        <f>+HYPERLINK("http://trademark.i-assist.jp/data/china/image_1883th/76305950.pdf","76305950")</f>
        <v>76305950</v>
      </c>
      <c r="F1047" s="7" t="s">
        <v>57</v>
      </c>
      <c r="G1047" s="7" t="s">
        <v>2863</v>
      </c>
      <c r="H1047" s="7" t="s">
        <v>2864</v>
      </c>
      <c r="I1047" s="9">
        <v>45301</v>
      </c>
    </row>
    <row r="1048" spans="1:9" x14ac:dyDescent="0.15">
      <c r="A1048" s="6">
        <v>1047</v>
      </c>
      <c r="B1048" s="7" t="s">
        <v>9</v>
      </c>
      <c r="C1048" s="8">
        <v>1883</v>
      </c>
      <c r="D1048" s="9">
        <v>45395</v>
      </c>
      <c r="E1048" s="13" t="str">
        <f>+HYPERLINK("http://trademark.i-assist.jp/data/china/image_1883th/76306031.pdf","76306031")</f>
        <v>76306031</v>
      </c>
      <c r="F1048" s="7" t="s">
        <v>2865</v>
      </c>
      <c r="G1048" s="7" t="s">
        <v>2866</v>
      </c>
      <c r="H1048" s="7" t="s">
        <v>2867</v>
      </c>
      <c r="I1048" s="9">
        <v>45301</v>
      </c>
    </row>
    <row r="1049" spans="1:9" x14ac:dyDescent="0.15">
      <c r="A1049" s="6">
        <v>1048</v>
      </c>
      <c r="B1049" s="7" t="s">
        <v>9</v>
      </c>
      <c r="C1049" s="8">
        <v>1883</v>
      </c>
      <c r="D1049" s="9">
        <v>45395</v>
      </c>
      <c r="E1049" s="13" t="str">
        <f>+HYPERLINK("http://trademark.i-assist.jp/data/china/image_1883th/76306125.pdf","76306125")</f>
        <v>76306125</v>
      </c>
      <c r="F1049" s="7" t="s">
        <v>2868</v>
      </c>
      <c r="G1049" s="7" t="s">
        <v>598</v>
      </c>
      <c r="H1049" s="7" t="s">
        <v>2869</v>
      </c>
      <c r="I1049" s="9">
        <v>45301</v>
      </c>
    </row>
    <row r="1050" spans="1:9" x14ac:dyDescent="0.15">
      <c r="A1050" s="6">
        <v>1049</v>
      </c>
      <c r="B1050" s="7" t="s">
        <v>9</v>
      </c>
      <c r="C1050" s="8">
        <v>1883</v>
      </c>
      <c r="D1050" s="9">
        <v>45395</v>
      </c>
      <c r="E1050" s="13" t="str">
        <f>+HYPERLINK("http://trademark.i-assist.jp/data/china/image_1883th/76306406.pdf","76306406")</f>
        <v>76306406</v>
      </c>
      <c r="F1050" s="7" t="s">
        <v>2870</v>
      </c>
      <c r="G1050" s="7" t="s">
        <v>2871</v>
      </c>
      <c r="H1050" s="7" t="s">
        <v>2872</v>
      </c>
      <c r="I1050" s="9">
        <v>45301</v>
      </c>
    </row>
    <row r="1051" spans="1:9" ht="27" x14ac:dyDescent="0.15">
      <c r="A1051" s="6">
        <v>1050</v>
      </c>
      <c r="B1051" s="7" t="s">
        <v>9</v>
      </c>
      <c r="C1051" s="8">
        <v>1883</v>
      </c>
      <c r="D1051" s="9">
        <v>45395</v>
      </c>
      <c r="E1051" s="13" t="str">
        <f>+HYPERLINK("http://trademark.i-assist.jp/data/china/image_1883th/76306432.pdf","76306432")</f>
        <v>76306432</v>
      </c>
      <c r="F1051" s="7" t="s">
        <v>2873</v>
      </c>
      <c r="G1051" s="7" t="s">
        <v>2874</v>
      </c>
      <c r="H1051" s="7" t="s">
        <v>2875</v>
      </c>
      <c r="I1051" s="9">
        <v>45301</v>
      </c>
    </row>
    <row r="1052" spans="1:9" ht="27" x14ac:dyDescent="0.15">
      <c r="A1052" s="6">
        <v>1051</v>
      </c>
      <c r="B1052" s="7" t="s">
        <v>9</v>
      </c>
      <c r="C1052" s="8">
        <v>1883</v>
      </c>
      <c r="D1052" s="9">
        <v>45395</v>
      </c>
      <c r="E1052" s="13" t="str">
        <f>+HYPERLINK("http://trademark.i-assist.jp/data/china/image_1883th/76306468.pdf","76306468")</f>
        <v>76306468</v>
      </c>
      <c r="F1052" s="7" t="s">
        <v>57</v>
      </c>
      <c r="G1052" s="7" t="s">
        <v>2876</v>
      </c>
      <c r="H1052" s="7" t="s">
        <v>2877</v>
      </c>
      <c r="I1052" s="9">
        <v>45301</v>
      </c>
    </row>
    <row r="1053" spans="1:9" x14ac:dyDescent="0.15">
      <c r="A1053" s="6">
        <v>1052</v>
      </c>
      <c r="B1053" s="7" t="s">
        <v>9</v>
      </c>
      <c r="C1053" s="8">
        <v>1883</v>
      </c>
      <c r="D1053" s="9">
        <v>45395</v>
      </c>
      <c r="E1053" s="13" t="str">
        <f>+HYPERLINK("http://trademark.i-assist.jp/data/china/image_1883th/76307015.pdf","76307015")</f>
        <v>76307015</v>
      </c>
      <c r="F1053" s="7" t="s">
        <v>2878</v>
      </c>
      <c r="G1053" s="7" t="s">
        <v>2879</v>
      </c>
      <c r="H1053" s="7" t="s">
        <v>2880</v>
      </c>
      <c r="I1053" s="9">
        <v>45301</v>
      </c>
    </row>
    <row r="1054" spans="1:9" ht="27" x14ac:dyDescent="0.15">
      <c r="A1054" s="6">
        <v>1053</v>
      </c>
      <c r="B1054" s="7" t="s">
        <v>9</v>
      </c>
      <c r="C1054" s="8">
        <v>1883</v>
      </c>
      <c r="D1054" s="9">
        <v>45395</v>
      </c>
      <c r="E1054" s="13" t="str">
        <f>+HYPERLINK("http://trademark.i-assist.jp/data/china/image_1883th/76307053.pdf","76307053")</f>
        <v>76307053</v>
      </c>
      <c r="F1054" s="7" t="s">
        <v>2881</v>
      </c>
      <c r="G1054" s="7" t="s">
        <v>2882</v>
      </c>
      <c r="H1054" s="7" t="s">
        <v>2883</v>
      </c>
      <c r="I1054" s="9">
        <v>45301</v>
      </c>
    </row>
    <row r="1055" spans="1:9" x14ac:dyDescent="0.15">
      <c r="A1055" s="6">
        <v>1054</v>
      </c>
      <c r="B1055" s="7" t="s">
        <v>9</v>
      </c>
      <c r="C1055" s="8">
        <v>1883</v>
      </c>
      <c r="D1055" s="9">
        <v>45395</v>
      </c>
      <c r="E1055" s="13" t="str">
        <f>+HYPERLINK("http://trademark.i-assist.jp/data/china/image_1883th/76307299.pdf","76307299")</f>
        <v>76307299</v>
      </c>
      <c r="F1055" s="7" t="s">
        <v>2884</v>
      </c>
      <c r="G1055" s="7" t="s">
        <v>2885</v>
      </c>
      <c r="H1055" s="7" t="s">
        <v>2886</v>
      </c>
      <c r="I1055" s="9">
        <v>45301</v>
      </c>
    </row>
    <row r="1056" spans="1:9" x14ac:dyDescent="0.15">
      <c r="A1056" s="6">
        <v>1055</v>
      </c>
      <c r="B1056" s="7" t="s">
        <v>9</v>
      </c>
      <c r="C1056" s="8">
        <v>1883</v>
      </c>
      <c r="D1056" s="9">
        <v>45395</v>
      </c>
      <c r="E1056" s="13" t="str">
        <f>+HYPERLINK("http://trademark.i-assist.jp/data/china/image_1883th/76307317.pdf","76307317")</f>
        <v>76307317</v>
      </c>
      <c r="F1056" s="7" t="s">
        <v>2887</v>
      </c>
      <c r="G1056" s="7" t="s">
        <v>2888</v>
      </c>
      <c r="H1056" s="7" t="s">
        <v>2889</v>
      </c>
      <c r="I1056" s="9">
        <v>45301</v>
      </c>
    </row>
    <row r="1057" spans="1:9" x14ac:dyDescent="0.15">
      <c r="A1057" s="6">
        <v>1056</v>
      </c>
      <c r="B1057" s="7" t="s">
        <v>9</v>
      </c>
      <c r="C1057" s="8">
        <v>1883</v>
      </c>
      <c r="D1057" s="9">
        <v>45395</v>
      </c>
      <c r="E1057" s="13" t="str">
        <f>+HYPERLINK("http://trademark.i-assist.jp/data/china/image_1883th/76307393.pdf","76307393")</f>
        <v>76307393</v>
      </c>
      <c r="F1057" s="7" t="s">
        <v>2890</v>
      </c>
      <c r="G1057" s="7" t="s">
        <v>2891</v>
      </c>
      <c r="H1057" s="7" t="s">
        <v>2892</v>
      </c>
      <c r="I1057" s="9">
        <v>45301</v>
      </c>
    </row>
    <row r="1058" spans="1:9" x14ac:dyDescent="0.15">
      <c r="A1058" s="6">
        <v>1057</v>
      </c>
      <c r="B1058" s="7" t="s">
        <v>9</v>
      </c>
      <c r="C1058" s="8">
        <v>1883</v>
      </c>
      <c r="D1058" s="9">
        <v>45395</v>
      </c>
      <c r="E1058" s="13" t="str">
        <f>+HYPERLINK("http://trademark.i-assist.jp/data/china/image_1883th/76307407.pdf","76307407")</f>
        <v>76307407</v>
      </c>
      <c r="F1058" s="7" t="s">
        <v>57</v>
      </c>
      <c r="G1058" s="7" t="s">
        <v>2893</v>
      </c>
      <c r="H1058" s="7" t="s">
        <v>2894</v>
      </c>
      <c r="I1058" s="9">
        <v>45301</v>
      </c>
    </row>
    <row r="1059" spans="1:9" ht="27" x14ac:dyDescent="0.15">
      <c r="A1059" s="6">
        <v>1058</v>
      </c>
      <c r="B1059" s="7" t="s">
        <v>9</v>
      </c>
      <c r="C1059" s="8">
        <v>1883</v>
      </c>
      <c r="D1059" s="9">
        <v>45395</v>
      </c>
      <c r="E1059" s="13" t="str">
        <f>+HYPERLINK("http://trademark.i-assist.jp/data/china/image_1883th/76307514.pdf","76307514")</f>
        <v>76307514</v>
      </c>
      <c r="F1059" s="7" t="s">
        <v>2895</v>
      </c>
      <c r="G1059" s="7" t="s">
        <v>2896</v>
      </c>
      <c r="H1059" s="7" t="s">
        <v>2897</v>
      </c>
      <c r="I1059" s="9">
        <v>45301</v>
      </c>
    </row>
    <row r="1060" spans="1:9" x14ac:dyDescent="0.15">
      <c r="A1060" s="6">
        <v>1059</v>
      </c>
      <c r="B1060" s="7" t="s">
        <v>9</v>
      </c>
      <c r="C1060" s="8">
        <v>1883</v>
      </c>
      <c r="D1060" s="9">
        <v>45395</v>
      </c>
      <c r="E1060" s="13" t="str">
        <f>+HYPERLINK("http://trademark.i-assist.jp/data/china/image_1883th/76307585.pdf","76307585")</f>
        <v>76307585</v>
      </c>
      <c r="F1060" s="7" t="s">
        <v>2898</v>
      </c>
      <c r="G1060" s="7" t="s">
        <v>2858</v>
      </c>
      <c r="H1060" s="7" t="s">
        <v>2899</v>
      </c>
      <c r="I1060" s="9">
        <v>45301</v>
      </c>
    </row>
    <row r="1061" spans="1:9" x14ac:dyDescent="0.15">
      <c r="A1061" s="6">
        <v>1060</v>
      </c>
      <c r="B1061" s="7" t="s">
        <v>9</v>
      </c>
      <c r="C1061" s="8">
        <v>1883</v>
      </c>
      <c r="D1061" s="9">
        <v>45395</v>
      </c>
      <c r="E1061" s="13" t="str">
        <f>+HYPERLINK("http://trademark.i-assist.jp/data/china/image_1883th/76307586.pdf","76307586")</f>
        <v>76307586</v>
      </c>
      <c r="F1061" s="7" t="s">
        <v>2900</v>
      </c>
      <c r="G1061" s="7" t="s">
        <v>2901</v>
      </c>
      <c r="H1061" s="7" t="s">
        <v>2902</v>
      </c>
      <c r="I1061" s="9">
        <v>45301</v>
      </c>
    </row>
    <row r="1062" spans="1:9" x14ac:dyDescent="0.15">
      <c r="A1062" s="6">
        <v>1061</v>
      </c>
      <c r="B1062" s="7" t="s">
        <v>9</v>
      </c>
      <c r="C1062" s="8">
        <v>1883</v>
      </c>
      <c r="D1062" s="9">
        <v>45395</v>
      </c>
      <c r="E1062" s="13" t="str">
        <f>+HYPERLINK("http://trademark.i-assist.jp/data/china/image_1883th/76307683.pdf","76307683")</f>
        <v>76307683</v>
      </c>
      <c r="F1062" s="7" t="s">
        <v>2903</v>
      </c>
      <c r="G1062" s="7" t="s">
        <v>2786</v>
      </c>
      <c r="H1062" s="7" t="s">
        <v>2904</v>
      </c>
      <c r="I1062" s="9">
        <v>45301</v>
      </c>
    </row>
    <row r="1063" spans="1:9" x14ac:dyDescent="0.15">
      <c r="A1063" s="6">
        <v>1062</v>
      </c>
      <c r="B1063" s="7" t="s">
        <v>9</v>
      </c>
      <c r="C1063" s="8">
        <v>1883</v>
      </c>
      <c r="D1063" s="9">
        <v>45395</v>
      </c>
      <c r="E1063" s="13" t="str">
        <f>+HYPERLINK("http://trademark.i-assist.jp/data/china/image_1883th/76307951.pdf","76307951")</f>
        <v>76307951</v>
      </c>
      <c r="F1063" s="7" t="s">
        <v>2905</v>
      </c>
      <c r="G1063" s="7" t="s">
        <v>2906</v>
      </c>
      <c r="H1063" s="7" t="s">
        <v>2907</v>
      </c>
      <c r="I1063" s="9">
        <v>45301</v>
      </c>
    </row>
    <row r="1064" spans="1:9" ht="27" x14ac:dyDescent="0.15">
      <c r="A1064" s="6">
        <v>1063</v>
      </c>
      <c r="B1064" s="7" t="s">
        <v>9</v>
      </c>
      <c r="C1064" s="8">
        <v>1883</v>
      </c>
      <c r="D1064" s="9">
        <v>45395</v>
      </c>
      <c r="E1064" s="13" t="str">
        <f>+HYPERLINK("http://trademark.i-assist.jp/data/china/image_1883th/76308031.pdf","76308031")</f>
        <v>76308031</v>
      </c>
      <c r="F1064" s="7" t="s">
        <v>2908</v>
      </c>
      <c r="G1064" s="7" t="s">
        <v>2909</v>
      </c>
      <c r="H1064" s="7" t="s">
        <v>2910</v>
      </c>
      <c r="I1064" s="9">
        <v>45301</v>
      </c>
    </row>
    <row r="1065" spans="1:9" x14ac:dyDescent="0.15">
      <c r="A1065" s="6">
        <v>1064</v>
      </c>
      <c r="B1065" s="7" t="s">
        <v>9</v>
      </c>
      <c r="C1065" s="8">
        <v>1883</v>
      </c>
      <c r="D1065" s="9">
        <v>45395</v>
      </c>
      <c r="E1065" s="13" t="str">
        <f>+HYPERLINK("http://trademark.i-assist.jp/data/china/image_1883th/76308287.pdf","76308287")</f>
        <v>76308287</v>
      </c>
      <c r="F1065" s="7" t="s">
        <v>2911</v>
      </c>
      <c r="G1065" s="7" t="s">
        <v>2912</v>
      </c>
      <c r="H1065" s="7" t="s">
        <v>2913</v>
      </c>
      <c r="I1065" s="9">
        <v>45301</v>
      </c>
    </row>
    <row r="1066" spans="1:9" x14ac:dyDescent="0.15">
      <c r="A1066" s="6">
        <v>1065</v>
      </c>
      <c r="B1066" s="7" t="s">
        <v>9</v>
      </c>
      <c r="C1066" s="8">
        <v>1883</v>
      </c>
      <c r="D1066" s="9">
        <v>45395</v>
      </c>
      <c r="E1066" s="13" t="str">
        <f>+HYPERLINK("http://trademark.i-assist.jp/data/china/image_1883th/76308836.pdf","76308836")</f>
        <v>76308836</v>
      </c>
      <c r="F1066" s="7" t="s">
        <v>2914</v>
      </c>
      <c r="G1066" s="7" t="s">
        <v>2915</v>
      </c>
      <c r="H1066" s="7" t="s">
        <v>2916</v>
      </c>
      <c r="I1066" s="9">
        <v>45301</v>
      </c>
    </row>
    <row r="1067" spans="1:9" x14ac:dyDescent="0.15">
      <c r="A1067" s="6">
        <v>1066</v>
      </c>
      <c r="B1067" s="7" t="s">
        <v>9</v>
      </c>
      <c r="C1067" s="8">
        <v>1883</v>
      </c>
      <c r="D1067" s="9">
        <v>45395</v>
      </c>
      <c r="E1067" s="13" t="str">
        <f>+HYPERLINK("http://trademark.i-assist.jp/data/china/image_1883th/76309001.pdf","76309001")</f>
        <v>76309001</v>
      </c>
      <c r="F1067" s="7" t="s">
        <v>57</v>
      </c>
      <c r="G1067" s="7" t="s">
        <v>2917</v>
      </c>
      <c r="H1067" s="7" t="s">
        <v>2918</v>
      </c>
      <c r="I1067" s="9">
        <v>45301</v>
      </c>
    </row>
    <row r="1068" spans="1:9" x14ac:dyDescent="0.15">
      <c r="A1068" s="6">
        <v>1067</v>
      </c>
      <c r="B1068" s="7" t="s">
        <v>9</v>
      </c>
      <c r="C1068" s="8">
        <v>1883</v>
      </c>
      <c r="D1068" s="9">
        <v>45395</v>
      </c>
      <c r="E1068" s="13" t="str">
        <f>+HYPERLINK("http://trademark.i-assist.jp/data/china/image_1883th/76309005.pdf","76309005")</f>
        <v>76309005</v>
      </c>
      <c r="F1068" s="7" t="s">
        <v>2919</v>
      </c>
      <c r="G1068" s="7" t="s">
        <v>2920</v>
      </c>
      <c r="H1068" s="7" t="s">
        <v>2921</v>
      </c>
      <c r="I1068" s="9">
        <v>45301</v>
      </c>
    </row>
    <row r="1069" spans="1:9" x14ac:dyDescent="0.15">
      <c r="A1069" s="6">
        <v>1068</v>
      </c>
      <c r="B1069" s="7" t="s">
        <v>9</v>
      </c>
      <c r="C1069" s="8">
        <v>1883</v>
      </c>
      <c r="D1069" s="9">
        <v>45395</v>
      </c>
      <c r="E1069" s="13" t="str">
        <f>+HYPERLINK("http://trademark.i-assist.jp/data/china/image_1883th/76309229.pdf","76309229")</f>
        <v>76309229</v>
      </c>
      <c r="F1069" s="7" t="s">
        <v>2922</v>
      </c>
      <c r="G1069" s="7" t="s">
        <v>2923</v>
      </c>
      <c r="H1069" s="7" t="s">
        <v>2924</v>
      </c>
      <c r="I1069" s="9">
        <v>45301</v>
      </c>
    </row>
    <row r="1070" spans="1:9" x14ac:dyDescent="0.15">
      <c r="A1070" s="6">
        <v>1069</v>
      </c>
      <c r="B1070" s="7" t="s">
        <v>9</v>
      </c>
      <c r="C1070" s="8">
        <v>1883</v>
      </c>
      <c r="D1070" s="9">
        <v>45395</v>
      </c>
      <c r="E1070" s="13" t="str">
        <f>+HYPERLINK("http://trademark.i-assist.jp/data/china/image_1883th/76309592.pdf","76309592")</f>
        <v>76309592</v>
      </c>
      <c r="F1070" s="7" t="s">
        <v>2925</v>
      </c>
      <c r="G1070" s="7" t="s">
        <v>2926</v>
      </c>
      <c r="H1070" s="7" t="s">
        <v>2927</v>
      </c>
      <c r="I1070" s="9">
        <v>45301</v>
      </c>
    </row>
    <row r="1071" spans="1:9" x14ac:dyDescent="0.15">
      <c r="A1071" s="6">
        <v>1070</v>
      </c>
      <c r="B1071" s="7" t="s">
        <v>9</v>
      </c>
      <c r="C1071" s="8">
        <v>1883</v>
      </c>
      <c r="D1071" s="9">
        <v>45395</v>
      </c>
      <c r="E1071" s="13" t="str">
        <f>+HYPERLINK("http://trademark.i-assist.jp/data/china/image_1883th/76309694.pdf","76309694")</f>
        <v>76309694</v>
      </c>
      <c r="F1071" s="7" t="s">
        <v>2928</v>
      </c>
      <c r="G1071" s="7" t="s">
        <v>2929</v>
      </c>
      <c r="H1071" s="7" t="s">
        <v>2930</v>
      </c>
      <c r="I1071" s="9">
        <v>45301</v>
      </c>
    </row>
    <row r="1072" spans="1:9" x14ac:dyDescent="0.15">
      <c r="A1072" s="6">
        <v>1071</v>
      </c>
      <c r="B1072" s="7" t="s">
        <v>9</v>
      </c>
      <c r="C1072" s="8">
        <v>1883</v>
      </c>
      <c r="D1072" s="9">
        <v>45395</v>
      </c>
      <c r="E1072" s="13" t="str">
        <f>+HYPERLINK("http://trademark.i-assist.jp/data/china/image_1883th/76309940.pdf","76309940")</f>
        <v>76309940</v>
      </c>
      <c r="F1072" s="7" t="s">
        <v>2931</v>
      </c>
      <c r="G1072" s="7" t="s">
        <v>2932</v>
      </c>
      <c r="H1072" s="7" t="s">
        <v>2933</v>
      </c>
      <c r="I1072" s="9">
        <v>45301</v>
      </c>
    </row>
    <row r="1073" spans="1:9" x14ac:dyDescent="0.15">
      <c r="A1073" s="6">
        <v>1072</v>
      </c>
      <c r="B1073" s="7" t="s">
        <v>9</v>
      </c>
      <c r="C1073" s="8">
        <v>1883</v>
      </c>
      <c r="D1073" s="9">
        <v>45395</v>
      </c>
      <c r="E1073" s="13" t="str">
        <f>+HYPERLINK("http://trademark.i-assist.jp/data/china/image_1883th/76309953.pdf","76309953")</f>
        <v>76309953</v>
      </c>
      <c r="F1073" s="7" t="s">
        <v>2934</v>
      </c>
      <c r="G1073" s="7" t="s">
        <v>2935</v>
      </c>
      <c r="H1073" s="7" t="s">
        <v>2936</v>
      </c>
      <c r="I1073" s="9">
        <v>45301</v>
      </c>
    </row>
    <row r="1074" spans="1:9" x14ac:dyDescent="0.15">
      <c r="A1074" s="6">
        <v>1073</v>
      </c>
      <c r="B1074" s="7" t="s">
        <v>9</v>
      </c>
      <c r="C1074" s="8">
        <v>1883</v>
      </c>
      <c r="D1074" s="9">
        <v>45395</v>
      </c>
      <c r="E1074" s="13" t="str">
        <f>+HYPERLINK("http://trademark.i-assist.jp/data/china/image_1883th/76309969.pdf","76309969")</f>
        <v>76309969</v>
      </c>
      <c r="F1074" s="7" t="s">
        <v>2937</v>
      </c>
      <c r="G1074" s="7" t="s">
        <v>2938</v>
      </c>
      <c r="H1074" s="7" t="s">
        <v>2939</v>
      </c>
      <c r="I1074" s="9">
        <v>45301</v>
      </c>
    </row>
    <row r="1075" spans="1:9" x14ac:dyDescent="0.15">
      <c r="A1075" s="6">
        <v>1074</v>
      </c>
      <c r="B1075" s="7" t="s">
        <v>9</v>
      </c>
      <c r="C1075" s="8">
        <v>1883</v>
      </c>
      <c r="D1075" s="9">
        <v>45395</v>
      </c>
      <c r="E1075" s="13" t="str">
        <f>+HYPERLINK("http://trademark.i-assist.jp/data/china/image_1883th/76310002.pdf","76310002")</f>
        <v>76310002</v>
      </c>
      <c r="F1075" s="7" t="s">
        <v>2940</v>
      </c>
      <c r="G1075" s="7" t="s">
        <v>2941</v>
      </c>
      <c r="H1075" s="7" t="s">
        <v>2942</v>
      </c>
      <c r="I1075" s="9">
        <v>45301</v>
      </c>
    </row>
    <row r="1076" spans="1:9" x14ac:dyDescent="0.15">
      <c r="A1076" s="6">
        <v>1075</v>
      </c>
      <c r="B1076" s="7" t="s">
        <v>9</v>
      </c>
      <c r="C1076" s="8">
        <v>1883</v>
      </c>
      <c r="D1076" s="9">
        <v>45395</v>
      </c>
      <c r="E1076" s="13" t="str">
        <f>+HYPERLINK("http://trademark.i-assist.jp/data/china/image_1883th/76310058.pdf","76310058")</f>
        <v>76310058</v>
      </c>
      <c r="F1076" s="7" t="s">
        <v>2943</v>
      </c>
      <c r="G1076" s="7" t="s">
        <v>2944</v>
      </c>
      <c r="H1076" s="7" t="s">
        <v>2945</v>
      </c>
      <c r="I1076" s="9">
        <v>45301</v>
      </c>
    </row>
    <row r="1077" spans="1:9" x14ac:dyDescent="0.15">
      <c r="A1077" s="6">
        <v>1076</v>
      </c>
      <c r="B1077" s="7" t="s">
        <v>9</v>
      </c>
      <c r="C1077" s="8">
        <v>1883</v>
      </c>
      <c r="D1077" s="9">
        <v>45395</v>
      </c>
      <c r="E1077" s="13" t="str">
        <f>+HYPERLINK("http://trademark.i-assist.jp/data/china/image_1883th/76310765.pdf","76310765")</f>
        <v>76310765</v>
      </c>
      <c r="F1077" s="7" t="s">
        <v>2946</v>
      </c>
      <c r="G1077" s="7" t="s">
        <v>2947</v>
      </c>
      <c r="H1077" s="7" t="s">
        <v>2948</v>
      </c>
      <c r="I1077" s="9">
        <v>45301</v>
      </c>
    </row>
    <row r="1078" spans="1:9" x14ac:dyDescent="0.15">
      <c r="A1078" s="6">
        <v>1077</v>
      </c>
      <c r="B1078" s="7" t="s">
        <v>9</v>
      </c>
      <c r="C1078" s="8">
        <v>1883</v>
      </c>
      <c r="D1078" s="9">
        <v>45395</v>
      </c>
      <c r="E1078" s="13" t="str">
        <f>+HYPERLINK("http://trademark.i-assist.jp/data/china/image_1883th/76310801.pdf","76310801")</f>
        <v>76310801</v>
      </c>
      <c r="F1078" s="7" t="s">
        <v>57</v>
      </c>
      <c r="G1078" s="7" t="s">
        <v>1741</v>
      </c>
      <c r="H1078" s="7" t="s">
        <v>2949</v>
      </c>
      <c r="I1078" s="9">
        <v>45301</v>
      </c>
    </row>
    <row r="1079" spans="1:9" x14ac:dyDescent="0.15">
      <c r="A1079" s="6">
        <v>1078</v>
      </c>
      <c r="B1079" s="7" t="s">
        <v>9</v>
      </c>
      <c r="C1079" s="8">
        <v>1883</v>
      </c>
      <c r="D1079" s="9">
        <v>45395</v>
      </c>
      <c r="E1079" s="13" t="str">
        <f>+HYPERLINK("http://trademark.i-assist.jp/data/china/image_1883th/76310925.pdf","76310925")</f>
        <v>76310925</v>
      </c>
      <c r="F1079" s="7" t="s">
        <v>2950</v>
      </c>
      <c r="G1079" s="7" t="s">
        <v>2951</v>
      </c>
      <c r="H1079" s="7" t="s">
        <v>2952</v>
      </c>
      <c r="I1079" s="9">
        <v>45301</v>
      </c>
    </row>
    <row r="1080" spans="1:9" x14ac:dyDescent="0.15">
      <c r="A1080" s="6">
        <v>1079</v>
      </c>
      <c r="B1080" s="7" t="s">
        <v>9</v>
      </c>
      <c r="C1080" s="8">
        <v>1883</v>
      </c>
      <c r="D1080" s="9">
        <v>45395</v>
      </c>
      <c r="E1080" s="13" t="str">
        <f>+HYPERLINK("http://trademark.i-assist.jp/data/china/image_1883th/76311097.pdf","76311097")</f>
        <v>76311097</v>
      </c>
      <c r="F1080" s="7" t="s">
        <v>2953</v>
      </c>
      <c r="G1080" s="7" t="s">
        <v>2954</v>
      </c>
      <c r="H1080" s="7" t="s">
        <v>2955</v>
      </c>
      <c r="I1080" s="9">
        <v>45301</v>
      </c>
    </row>
    <row r="1081" spans="1:9" x14ac:dyDescent="0.15">
      <c r="A1081" s="6">
        <v>1080</v>
      </c>
      <c r="B1081" s="7" t="s">
        <v>9</v>
      </c>
      <c r="C1081" s="8">
        <v>1883</v>
      </c>
      <c r="D1081" s="9">
        <v>45395</v>
      </c>
      <c r="E1081" s="13" t="str">
        <f>+HYPERLINK("http://trademark.i-assist.jp/data/china/image_1883th/76311131.pdf","76311131")</f>
        <v>76311131</v>
      </c>
      <c r="F1081" s="7" t="s">
        <v>2956</v>
      </c>
      <c r="G1081" s="7" t="s">
        <v>2957</v>
      </c>
      <c r="H1081" s="7" t="s">
        <v>2958</v>
      </c>
      <c r="I1081" s="9">
        <v>45301</v>
      </c>
    </row>
    <row r="1082" spans="1:9" x14ac:dyDescent="0.15">
      <c r="A1082" s="6">
        <v>1081</v>
      </c>
      <c r="B1082" s="7" t="s">
        <v>9</v>
      </c>
      <c r="C1082" s="8">
        <v>1883</v>
      </c>
      <c r="D1082" s="9">
        <v>45395</v>
      </c>
      <c r="E1082" s="13" t="str">
        <f>+HYPERLINK("http://trademark.i-assist.jp/data/china/image_1883th/76311336.pdf","76311336")</f>
        <v>76311336</v>
      </c>
      <c r="F1082" s="7" t="s">
        <v>2959</v>
      </c>
      <c r="G1082" s="7" t="s">
        <v>2960</v>
      </c>
      <c r="H1082" s="7" t="s">
        <v>2961</v>
      </c>
      <c r="I1082" s="9">
        <v>45301</v>
      </c>
    </row>
    <row r="1083" spans="1:9" x14ac:dyDescent="0.15">
      <c r="A1083" s="6">
        <v>1082</v>
      </c>
      <c r="B1083" s="7" t="s">
        <v>9</v>
      </c>
      <c r="C1083" s="8">
        <v>1883</v>
      </c>
      <c r="D1083" s="9">
        <v>45395</v>
      </c>
      <c r="E1083" s="13" t="str">
        <f>+HYPERLINK("http://trademark.i-assist.jp/data/china/image_1883th/76311506.pdf","76311506")</f>
        <v>76311506</v>
      </c>
      <c r="F1083" s="7" t="s">
        <v>57</v>
      </c>
      <c r="G1083" s="7" t="s">
        <v>2962</v>
      </c>
      <c r="H1083" s="7" t="s">
        <v>2963</v>
      </c>
      <c r="I1083" s="9">
        <v>45301</v>
      </c>
    </row>
    <row r="1084" spans="1:9" x14ac:dyDescent="0.15">
      <c r="A1084" s="6">
        <v>1083</v>
      </c>
      <c r="B1084" s="7" t="s">
        <v>9</v>
      </c>
      <c r="C1084" s="8">
        <v>1883</v>
      </c>
      <c r="D1084" s="9">
        <v>45395</v>
      </c>
      <c r="E1084" s="13" t="str">
        <f>+HYPERLINK("http://trademark.i-assist.jp/data/china/image_1883th/76311643.pdf","76311643")</f>
        <v>76311643</v>
      </c>
      <c r="F1084" s="7" t="s">
        <v>2964</v>
      </c>
      <c r="G1084" s="7" t="s">
        <v>2965</v>
      </c>
      <c r="H1084" s="7" t="s">
        <v>2966</v>
      </c>
      <c r="I1084" s="9">
        <v>45301</v>
      </c>
    </row>
    <row r="1085" spans="1:9" x14ac:dyDescent="0.15">
      <c r="A1085" s="6">
        <v>1084</v>
      </c>
      <c r="B1085" s="7" t="s">
        <v>9</v>
      </c>
      <c r="C1085" s="8">
        <v>1883</v>
      </c>
      <c r="D1085" s="9">
        <v>45395</v>
      </c>
      <c r="E1085" s="13" t="str">
        <f>+HYPERLINK("http://trademark.i-assist.jp/data/china/image_1883th/76312175.pdf","76312175")</f>
        <v>76312175</v>
      </c>
      <c r="F1085" s="7" t="s">
        <v>2967</v>
      </c>
      <c r="G1085" s="7" t="s">
        <v>2968</v>
      </c>
      <c r="H1085" s="7" t="s">
        <v>2969</v>
      </c>
      <c r="I1085" s="9">
        <v>45301</v>
      </c>
    </row>
    <row r="1086" spans="1:9" x14ac:dyDescent="0.15">
      <c r="A1086" s="6">
        <v>1085</v>
      </c>
      <c r="B1086" s="7" t="s">
        <v>9</v>
      </c>
      <c r="C1086" s="8">
        <v>1883</v>
      </c>
      <c r="D1086" s="9">
        <v>45395</v>
      </c>
      <c r="E1086" s="13" t="str">
        <f>+HYPERLINK("http://trademark.i-assist.jp/data/china/image_1883th/76312181.pdf","76312181")</f>
        <v>76312181</v>
      </c>
      <c r="F1086" s="7" t="s">
        <v>2970</v>
      </c>
      <c r="G1086" s="7" t="s">
        <v>2971</v>
      </c>
      <c r="H1086" s="7" t="s">
        <v>2972</v>
      </c>
      <c r="I1086" s="9">
        <v>45301</v>
      </c>
    </row>
    <row r="1087" spans="1:9" x14ac:dyDescent="0.15">
      <c r="A1087" s="6">
        <v>1086</v>
      </c>
      <c r="B1087" s="7" t="s">
        <v>9</v>
      </c>
      <c r="C1087" s="8">
        <v>1883</v>
      </c>
      <c r="D1087" s="9">
        <v>45395</v>
      </c>
      <c r="E1087" s="13" t="str">
        <f>+HYPERLINK("http://trademark.i-assist.jp/data/china/image_1883th/76312230.pdf","76312230")</f>
        <v>76312230</v>
      </c>
      <c r="F1087" s="7" t="s">
        <v>2973</v>
      </c>
      <c r="G1087" s="7" t="s">
        <v>2974</v>
      </c>
      <c r="H1087" s="7" t="s">
        <v>2975</v>
      </c>
      <c r="I1087" s="9">
        <v>45301</v>
      </c>
    </row>
    <row r="1088" spans="1:9" ht="27" x14ac:dyDescent="0.15">
      <c r="A1088" s="6">
        <v>1087</v>
      </c>
      <c r="B1088" s="7" t="s">
        <v>9</v>
      </c>
      <c r="C1088" s="8">
        <v>1883</v>
      </c>
      <c r="D1088" s="9">
        <v>45395</v>
      </c>
      <c r="E1088" s="13" t="str">
        <f>+HYPERLINK("http://trademark.i-assist.jp/data/china/image_1883th/76312638.pdf","76312638")</f>
        <v>76312638</v>
      </c>
      <c r="F1088" s="7" t="s">
        <v>2976</v>
      </c>
      <c r="G1088" s="7" t="s">
        <v>2977</v>
      </c>
      <c r="H1088" s="7" t="s">
        <v>2978</v>
      </c>
      <c r="I1088" s="9">
        <v>45301</v>
      </c>
    </row>
    <row r="1089" spans="1:9" x14ac:dyDescent="0.15">
      <c r="A1089" s="6">
        <v>1088</v>
      </c>
      <c r="B1089" s="7" t="s">
        <v>9</v>
      </c>
      <c r="C1089" s="8">
        <v>1883</v>
      </c>
      <c r="D1089" s="9">
        <v>45395</v>
      </c>
      <c r="E1089" s="13" t="str">
        <f>+HYPERLINK("http://trademark.i-assist.jp/data/china/image_1883th/76312787.pdf","76312787")</f>
        <v>76312787</v>
      </c>
      <c r="F1089" s="7" t="s">
        <v>2979</v>
      </c>
      <c r="G1089" s="7" t="s">
        <v>2980</v>
      </c>
      <c r="H1089" s="7" t="s">
        <v>2981</v>
      </c>
      <c r="I1089" s="9">
        <v>45301</v>
      </c>
    </row>
    <row r="1090" spans="1:9" ht="27" x14ac:dyDescent="0.15">
      <c r="A1090" s="6">
        <v>1089</v>
      </c>
      <c r="B1090" s="7" t="s">
        <v>9</v>
      </c>
      <c r="C1090" s="8">
        <v>1883</v>
      </c>
      <c r="D1090" s="9">
        <v>45395</v>
      </c>
      <c r="E1090" s="13" t="str">
        <f>+HYPERLINK("http://trademark.i-assist.jp/data/china/image_1883th/76312862.pdf","76312862")</f>
        <v>76312862</v>
      </c>
      <c r="F1090" s="7" t="s">
        <v>2982</v>
      </c>
      <c r="G1090" s="7" t="s">
        <v>2983</v>
      </c>
      <c r="H1090" s="7" t="s">
        <v>2984</v>
      </c>
      <c r="I1090" s="9">
        <v>45301</v>
      </c>
    </row>
    <row r="1091" spans="1:9" ht="27" x14ac:dyDescent="0.15">
      <c r="A1091" s="6">
        <v>1090</v>
      </c>
      <c r="B1091" s="7" t="s">
        <v>9</v>
      </c>
      <c r="C1091" s="8">
        <v>1883</v>
      </c>
      <c r="D1091" s="9">
        <v>45395</v>
      </c>
      <c r="E1091" s="13" t="str">
        <f>+HYPERLINK("http://trademark.i-assist.jp/data/china/image_1883th/76312875.pdf","76312875")</f>
        <v>76312875</v>
      </c>
      <c r="F1091" s="7" t="s">
        <v>2985</v>
      </c>
      <c r="G1091" s="7" t="s">
        <v>2986</v>
      </c>
      <c r="H1091" s="7" t="s">
        <v>2987</v>
      </c>
      <c r="I1091" s="9">
        <v>45301</v>
      </c>
    </row>
    <row r="1092" spans="1:9" x14ac:dyDescent="0.15">
      <c r="A1092" s="6">
        <v>1091</v>
      </c>
      <c r="B1092" s="7" t="s">
        <v>9</v>
      </c>
      <c r="C1092" s="8">
        <v>1883</v>
      </c>
      <c r="D1092" s="9">
        <v>45395</v>
      </c>
      <c r="E1092" s="13" t="str">
        <f>+HYPERLINK("http://trademark.i-assist.jp/data/china/image_1883th/76313051.pdf","76313051")</f>
        <v>76313051</v>
      </c>
      <c r="F1092" s="7" t="s">
        <v>2988</v>
      </c>
      <c r="G1092" s="7" t="s">
        <v>2989</v>
      </c>
      <c r="H1092" s="7" t="s">
        <v>2990</v>
      </c>
      <c r="I1092" s="9">
        <v>45301</v>
      </c>
    </row>
    <row r="1093" spans="1:9" x14ac:dyDescent="0.15">
      <c r="A1093" s="6">
        <v>1092</v>
      </c>
      <c r="B1093" s="7" t="s">
        <v>9</v>
      </c>
      <c r="C1093" s="8">
        <v>1883</v>
      </c>
      <c r="D1093" s="9">
        <v>45395</v>
      </c>
      <c r="E1093" s="13" t="str">
        <f>+HYPERLINK("http://trademark.i-assist.jp/data/china/image_1883th/76313057.pdf","76313057")</f>
        <v>76313057</v>
      </c>
      <c r="F1093" s="7" t="s">
        <v>2991</v>
      </c>
      <c r="G1093" s="7" t="s">
        <v>2992</v>
      </c>
      <c r="H1093" s="7" t="s">
        <v>2993</v>
      </c>
      <c r="I1093" s="9">
        <v>45301</v>
      </c>
    </row>
    <row r="1094" spans="1:9" ht="27" x14ac:dyDescent="0.15">
      <c r="A1094" s="6">
        <v>1093</v>
      </c>
      <c r="B1094" s="7" t="s">
        <v>9</v>
      </c>
      <c r="C1094" s="8">
        <v>1883</v>
      </c>
      <c r="D1094" s="9">
        <v>45395</v>
      </c>
      <c r="E1094" s="13" t="str">
        <f>+HYPERLINK("http://trademark.i-assist.jp/data/china/image_1883th/76313482.pdf","76313482")</f>
        <v>76313482</v>
      </c>
      <c r="F1094" s="7" t="s">
        <v>2994</v>
      </c>
      <c r="G1094" s="7" t="s">
        <v>1806</v>
      </c>
      <c r="H1094" s="7" t="s">
        <v>2995</v>
      </c>
      <c r="I1094" s="9">
        <v>45301</v>
      </c>
    </row>
    <row r="1095" spans="1:9" x14ac:dyDescent="0.15">
      <c r="A1095" s="6">
        <v>1094</v>
      </c>
      <c r="B1095" s="7" t="s">
        <v>9</v>
      </c>
      <c r="C1095" s="8">
        <v>1883</v>
      </c>
      <c r="D1095" s="9">
        <v>45395</v>
      </c>
      <c r="E1095" s="13" t="str">
        <f>+HYPERLINK("http://trademark.i-assist.jp/data/china/image_1883th/76313642.pdf","76313642")</f>
        <v>76313642</v>
      </c>
      <c r="F1095" s="7" t="s">
        <v>2996</v>
      </c>
      <c r="G1095" s="7" t="s">
        <v>2997</v>
      </c>
      <c r="H1095" s="7" t="s">
        <v>2998</v>
      </c>
      <c r="I1095" s="9">
        <v>45301</v>
      </c>
    </row>
    <row r="1096" spans="1:9" x14ac:dyDescent="0.15">
      <c r="A1096" s="6">
        <v>1095</v>
      </c>
      <c r="B1096" s="7" t="s">
        <v>9</v>
      </c>
      <c r="C1096" s="8">
        <v>1883</v>
      </c>
      <c r="D1096" s="9">
        <v>45395</v>
      </c>
      <c r="E1096" s="13" t="str">
        <f>+HYPERLINK("http://trademark.i-assist.jp/data/china/image_1883th/76313866.pdf","76313866")</f>
        <v>76313866</v>
      </c>
      <c r="F1096" s="7" t="s">
        <v>2999</v>
      </c>
      <c r="G1096" s="7" t="s">
        <v>3000</v>
      </c>
      <c r="H1096" s="7" t="s">
        <v>3001</v>
      </c>
      <c r="I1096" s="9">
        <v>45301</v>
      </c>
    </row>
    <row r="1097" spans="1:9" ht="27" x14ac:dyDescent="0.15">
      <c r="A1097" s="6">
        <v>1096</v>
      </c>
      <c r="B1097" s="7" t="s">
        <v>9</v>
      </c>
      <c r="C1097" s="8">
        <v>1883</v>
      </c>
      <c r="D1097" s="9">
        <v>45395</v>
      </c>
      <c r="E1097" s="13" t="str">
        <f>+HYPERLINK("http://trademark.i-assist.jp/data/china/image_1883th/76314018.pdf","76314018")</f>
        <v>76314018</v>
      </c>
      <c r="F1097" s="7" t="s">
        <v>3002</v>
      </c>
      <c r="G1097" s="7" t="s">
        <v>3003</v>
      </c>
      <c r="H1097" s="7" t="s">
        <v>3004</v>
      </c>
      <c r="I1097" s="9">
        <v>45301</v>
      </c>
    </row>
    <row r="1098" spans="1:9" x14ac:dyDescent="0.15">
      <c r="A1098" s="6">
        <v>1097</v>
      </c>
      <c r="B1098" s="7" t="s">
        <v>9</v>
      </c>
      <c r="C1098" s="8">
        <v>1883</v>
      </c>
      <c r="D1098" s="9">
        <v>45395</v>
      </c>
      <c r="E1098" s="13" t="str">
        <f>+HYPERLINK("http://trademark.i-assist.jp/data/china/image_1883th/76314260.pdf","76314260")</f>
        <v>76314260</v>
      </c>
      <c r="F1098" s="7" t="s">
        <v>3005</v>
      </c>
      <c r="G1098" s="7" t="s">
        <v>3006</v>
      </c>
      <c r="H1098" s="7" t="s">
        <v>3007</v>
      </c>
      <c r="I1098" s="9">
        <v>45301</v>
      </c>
    </row>
    <row r="1099" spans="1:9" x14ac:dyDescent="0.15">
      <c r="A1099" s="6">
        <v>1098</v>
      </c>
      <c r="B1099" s="7" t="s">
        <v>9</v>
      </c>
      <c r="C1099" s="8">
        <v>1883</v>
      </c>
      <c r="D1099" s="9">
        <v>45395</v>
      </c>
      <c r="E1099" s="13" t="str">
        <f>+HYPERLINK("http://trademark.i-assist.jp/data/china/image_1883th/76314327.pdf","76314327")</f>
        <v>76314327</v>
      </c>
      <c r="F1099" s="7" t="s">
        <v>3008</v>
      </c>
      <c r="G1099" s="7" t="s">
        <v>3009</v>
      </c>
      <c r="H1099" s="7" t="s">
        <v>3010</v>
      </c>
      <c r="I1099" s="9">
        <v>45301</v>
      </c>
    </row>
    <row r="1100" spans="1:9" x14ac:dyDescent="0.15">
      <c r="A1100" s="6">
        <v>1099</v>
      </c>
      <c r="B1100" s="7" t="s">
        <v>9</v>
      </c>
      <c r="C1100" s="8">
        <v>1883</v>
      </c>
      <c r="D1100" s="9">
        <v>45395</v>
      </c>
      <c r="E1100" s="13" t="str">
        <f>+HYPERLINK("http://trademark.i-assist.jp/data/china/image_1883th/76314586.pdf","76314586")</f>
        <v>76314586</v>
      </c>
      <c r="F1100" s="7" t="s">
        <v>3011</v>
      </c>
      <c r="G1100" s="7" t="s">
        <v>2891</v>
      </c>
      <c r="H1100" s="7" t="s">
        <v>3012</v>
      </c>
      <c r="I1100" s="9">
        <v>45301</v>
      </c>
    </row>
    <row r="1101" spans="1:9" x14ac:dyDescent="0.15">
      <c r="A1101" s="6">
        <v>1100</v>
      </c>
      <c r="B1101" s="7" t="s">
        <v>9</v>
      </c>
      <c r="C1101" s="8">
        <v>1883</v>
      </c>
      <c r="D1101" s="9">
        <v>45395</v>
      </c>
      <c r="E1101" s="13" t="str">
        <f>+HYPERLINK("http://trademark.i-assist.jp/data/china/image_1883th/76314747.pdf","76314747")</f>
        <v>76314747</v>
      </c>
      <c r="F1101" s="7" t="s">
        <v>3013</v>
      </c>
      <c r="G1101" s="7" t="s">
        <v>3014</v>
      </c>
      <c r="H1101" s="7" t="s">
        <v>3015</v>
      </c>
      <c r="I1101" s="9">
        <v>45301</v>
      </c>
    </row>
    <row r="1102" spans="1:9" x14ac:dyDescent="0.15">
      <c r="A1102" s="6">
        <v>1101</v>
      </c>
      <c r="B1102" s="7" t="s">
        <v>9</v>
      </c>
      <c r="C1102" s="8">
        <v>1883</v>
      </c>
      <c r="D1102" s="9">
        <v>45395</v>
      </c>
      <c r="E1102" s="13" t="str">
        <f>+HYPERLINK("http://trademark.i-assist.jp/data/china/image_1883th/76315042.pdf","76315042")</f>
        <v>76315042</v>
      </c>
      <c r="F1102" s="7" t="s">
        <v>3016</v>
      </c>
      <c r="G1102" s="7" t="s">
        <v>3017</v>
      </c>
      <c r="H1102" s="7" t="s">
        <v>3018</v>
      </c>
      <c r="I1102" s="9">
        <v>45301</v>
      </c>
    </row>
    <row r="1103" spans="1:9" x14ac:dyDescent="0.15">
      <c r="A1103" s="6">
        <v>1102</v>
      </c>
      <c r="B1103" s="7" t="s">
        <v>9</v>
      </c>
      <c r="C1103" s="8">
        <v>1883</v>
      </c>
      <c r="D1103" s="9">
        <v>45395</v>
      </c>
      <c r="E1103" s="13" t="str">
        <f>+HYPERLINK("http://trademark.i-assist.jp/data/china/image_1883th/76315078.pdf","76315078")</f>
        <v>76315078</v>
      </c>
      <c r="F1103" s="7" t="s">
        <v>3019</v>
      </c>
      <c r="G1103" s="7" t="s">
        <v>3020</v>
      </c>
      <c r="H1103" s="7" t="s">
        <v>3021</v>
      </c>
      <c r="I1103" s="9">
        <v>45301</v>
      </c>
    </row>
    <row r="1104" spans="1:9" x14ac:dyDescent="0.15">
      <c r="A1104" s="6">
        <v>1103</v>
      </c>
      <c r="B1104" s="7" t="s">
        <v>9</v>
      </c>
      <c r="C1104" s="8">
        <v>1883</v>
      </c>
      <c r="D1104" s="9">
        <v>45395</v>
      </c>
      <c r="E1104" s="13" t="str">
        <f>+HYPERLINK("http://trademark.i-assist.jp/data/china/image_1883th/76315259.pdf","76315259")</f>
        <v>76315259</v>
      </c>
      <c r="F1104" s="7" t="s">
        <v>3022</v>
      </c>
      <c r="G1104" s="7" t="s">
        <v>3023</v>
      </c>
      <c r="H1104" s="7" t="s">
        <v>3024</v>
      </c>
      <c r="I1104" s="9">
        <v>45301</v>
      </c>
    </row>
    <row r="1105" spans="1:9" x14ac:dyDescent="0.15">
      <c r="A1105" s="6">
        <v>1104</v>
      </c>
      <c r="B1105" s="7" t="s">
        <v>9</v>
      </c>
      <c r="C1105" s="8">
        <v>1883</v>
      </c>
      <c r="D1105" s="9">
        <v>45395</v>
      </c>
      <c r="E1105" s="13" t="str">
        <f>+HYPERLINK("http://trademark.i-assist.jp/data/china/image_1883th/76316528.pdf","76316528")</f>
        <v>76316528</v>
      </c>
      <c r="F1105" s="7" t="s">
        <v>3025</v>
      </c>
      <c r="G1105" s="7" t="s">
        <v>3026</v>
      </c>
      <c r="H1105" s="7" t="s">
        <v>3027</v>
      </c>
      <c r="I1105" s="9">
        <v>45301</v>
      </c>
    </row>
    <row r="1106" spans="1:9" ht="27" x14ac:dyDescent="0.15">
      <c r="A1106" s="6">
        <v>1105</v>
      </c>
      <c r="B1106" s="7" t="s">
        <v>9</v>
      </c>
      <c r="C1106" s="8">
        <v>1883</v>
      </c>
      <c r="D1106" s="9">
        <v>45395</v>
      </c>
      <c r="E1106" s="13" t="str">
        <f>+HYPERLINK("http://trademark.i-assist.jp/data/china/image_1883th/76317033.pdf","76317033")</f>
        <v>76317033</v>
      </c>
      <c r="F1106" s="7" t="s">
        <v>3028</v>
      </c>
      <c r="G1106" s="7" t="s">
        <v>3029</v>
      </c>
      <c r="H1106" s="7" t="s">
        <v>3030</v>
      </c>
      <c r="I1106" s="9">
        <v>45301</v>
      </c>
    </row>
    <row r="1107" spans="1:9" x14ac:dyDescent="0.15">
      <c r="A1107" s="6">
        <v>1106</v>
      </c>
      <c r="B1107" s="7" t="s">
        <v>9</v>
      </c>
      <c r="C1107" s="8">
        <v>1883</v>
      </c>
      <c r="D1107" s="9">
        <v>45395</v>
      </c>
      <c r="E1107" s="13" t="str">
        <f>+HYPERLINK("http://trademark.i-assist.jp/data/china/image_1883th/76317125.pdf","76317125")</f>
        <v>76317125</v>
      </c>
      <c r="F1107" s="7" t="s">
        <v>3031</v>
      </c>
      <c r="G1107" s="7" t="s">
        <v>3032</v>
      </c>
      <c r="H1107" s="7" t="s">
        <v>3033</v>
      </c>
      <c r="I1107" s="9">
        <v>45301</v>
      </c>
    </row>
    <row r="1108" spans="1:9" x14ac:dyDescent="0.15">
      <c r="A1108" s="6">
        <v>1107</v>
      </c>
      <c r="B1108" s="7" t="s">
        <v>9</v>
      </c>
      <c r="C1108" s="8">
        <v>1883</v>
      </c>
      <c r="D1108" s="9">
        <v>45395</v>
      </c>
      <c r="E1108" s="13" t="str">
        <f>+HYPERLINK("http://trademark.i-assist.jp/data/china/image_1883th/76317232.pdf","76317232")</f>
        <v>76317232</v>
      </c>
      <c r="F1108" s="7" t="s">
        <v>3034</v>
      </c>
      <c r="G1108" s="7" t="s">
        <v>2795</v>
      </c>
      <c r="H1108" s="7" t="s">
        <v>3035</v>
      </c>
      <c r="I1108" s="9">
        <v>45301</v>
      </c>
    </row>
    <row r="1109" spans="1:9" x14ac:dyDescent="0.15">
      <c r="A1109" s="6">
        <v>1108</v>
      </c>
      <c r="B1109" s="7" t="s">
        <v>9</v>
      </c>
      <c r="C1109" s="8">
        <v>1883</v>
      </c>
      <c r="D1109" s="9">
        <v>45395</v>
      </c>
      <c r="E1109" s="13" t="str">
        <f>+HYPERLINK("http://trademark.i-assist.jp/data/china/image_1883th/76317234.pdf","76317234")</f>
        <v>76317234</v>
      </c>
      <c r="F1109" s="7" t="s">
        <v>3036</v>
      </c>
      <c r="G1109" s="7" t="s">
        <v>3037</v>
      </c>
      <c r="H1109" s="7" t="s">
        <v>3038</v>
      </c>
      <c r="I1109" s="9">
        <v>45301</v>
      </c>
    </row>
    <row r="1110" spans="1:9" x14ac:dyDescent="0.15">
      <c r="A1110" s="6">
        <v>1109</v>
      </c>
      <c r="B1110" s="7" t="s">
        <v>9</v>
      </c>
      <c r="C1110" s="8">
        <v>1883</v>
      </c>
      <c r="D1110" s="9">
        <v>45395</v>
      </c>
      <c r="E1110" s="13" t="str">
        <f>+HYPERLINK("http://trademark.i-assist.jp/data/china/image_1883th/76317720.pdf","76317720")</f>
        <v>76317720</v>
      </c>
      <c r="F1110" s="7" t="s">
        <v>3039</v>
      </c>
      <c r="G1110" s="7" t="s">
        <v>2915</v>
      </c>
      <c r="H1110" s="7" t="s">
        <v>3040</v>
      </c>
      <c r="I1110" s="9">
        <v>45301</v>
      </c>
    </row>
    <row r="1111" spans="1:9" x14ac:dyDescent="0.15">
      <c r="A1111" s="6">
        <v>1110</v>
      </c>
      <c r="B1111" s="7" t="s">
        <v>9</v>
      </c>
      <c r="C1111" s="8">
        <v>1883</v>
      </c>
      <c r="D1111" s="9">
        <v>45395</v>
      </c>
      <c r="E1111" s="13" t="str">
        <f>+HYPERLINK("http://trademark.i-assist.jp/data/china/image_1883th/76318059.pdf","76318059")</f>
        <v>76318059</v>
      </c>
      <c r="F1111" s="7" t="s">
        <v>3041</v>
      </c>
      <c r="G1111" s="7" t="s">
        <v>3042</v>
      </c>
      <c r="H1111" s="7" t="s">
        <v>3043</v>
      </c>
      <c r="I1111" s="9">
        <v>45301</v>
      </c>
    </row>
    <row r="1112" spans="1:9" x14ac:dyDescent="0.15">
      <c r="A1112" s="6">
        <v>1111</v>
      </c>
      <c r="B1112" s="7" t="s">
        <v>9</v>
      </c>
      <c r="C1112" s="8">
        <v>1883</v>
      </c>
      <c r="D1112" s="9">
        <v>45395</v>
      </c>
      <c r="E1112" s="13" t="str">
        <f>+HYPERLINK("http://trademark.i-assist.jp/data/china/image_1883th/76318135.pdf","76318135")</f>
        <v>76318135</v>
      </c>
      <c r="F1112" s="7" t="s">
        <v>3044</v>
      </c>
      <c r="G1112" s="7" t="s">
        <v>3045</v>
      </c>
      <c r="H1112" s="7" t="s">
        <v>3046</v>
      </c>
      <c r="I1112" s="9">
        <v>45301</v>
      </c>
    </row>
    <row r="1113" spans="1:9" x14ac:dyDescent="0.15">
      <c r="A1113" s="6">
        <v>1112</v>
      </c>
      <c r="B1113" s="7" t="s">
        <v>9</v>
      </c>
      <c r="C1113" s="8">
        <v>1883</v>
      </c>
      <c r="D1113" s="9">
        <v>45395</v>
      </c>
      <c r="E1113" s="13" t="str">
        <f>+HYPERLINK("http://trademark.i-assist.jp/data/china/image_1883th/76318224.pdf","76318224")</f>
        <v>76318224</v>
      </c>
      <c r="F1113" s="7" t="s">
        <v>3047</v>
      </c>
      <c r="G1113" s="7" t="s">
        <v>3048</v>
      </c>
      <c r="H1113" s="7" t="s">
        <v>3049</v>
      </c>
      <c r="I1113" s="9">
        <v>45302</v>
      </c>
    </row>
    <row r="1114" spans="1:9" x14ac:dyDescent="0.15">
      <c r="A1114" s="6">
        <v>1113</v>
      </c>
      <c r="B1114" s="7" t="s">
        <v>9</v>
      </c>
      <c r="C1114" s="8">
        <v>1883</v>
      </c>
      <c r="D1114" s="9">
        <v>45395</v>
      </c>
      <c r="E1114" s="13" t="str">
        <f>+HYPERLINK("http://trademark.i-assist.jp/data/china/image_1883th/76318225.pdf","76318225")</f>
        <v>76318225</v>
      </c>
      <c r="F1114" s="7" t="s">
        <v>57</v>
      </c>
      <c r="G1114" s="7" t="s">
        <v>3048</v>
      </c>
      <c r="H1114" s="7" t="s">
        <v>3050</v>
      </c>
      <c r="I1114" s="9">
        <v>45302</v>
      </c>
    </row>
    <row r="1115" spans="1:9" x14ac:dyDescent="0.15">
      <c r="A1115" s="6">
        <v>1114</v>
      </c>
      <c r="B1115" s="7" t="s">
        <v>9</v>
      </c>
      <c r="C1115" s="8">
        <v>1883</v>
      </c>
      <c r="D1115" s="9">
        <v>45395</v>
      </c>
      <c r="E1115" s="13" t="str">
        <f>+HYPERLINK("http://trademark.i-assist.jp/data/china/image_1883th/76318608.pdf","76318608")</f>
        <v>76318608</v>
      </c>
      <c r="F1115" s="7" t="s">
        <v>3051</v>
      </c>
      <c r="G1115" s="7" t="s">
        <v>3052</v>
      </c>
      <c r="H1115" s="7" t="s">
        <v>3053</v>
      </c>
      <c r="I1115" s="9">
        <v>45302</v>
      </c>
    </row>
    <row r="1116" spans="1:9" x14ac:dyDescent="0.15">
      <c r="A1116" s="6">
        <v>1115</v>
      </c>
      <c r="B1116" s="7" t="s">
        <v>9</v>
      </c>
      <c r="C1116" s="8">
        <v>1883</v>
      </c>
      <c r="D1116" s="9">
        <v>45395</v>
      </c>
      <c r="E1116" s="13" t="str">
        <f>+HYPERLINK("http://trademark.i-assist.jp/data/china/image_1883th/76319362.pdf","76319362")</f>
        <v>76319362</v>
      </c>
      <c r="F1116" s="7" t="s">
        <v>3054</v>
      </c>
      <c r="G1116" s="7" t="s">
        <v>3055</v>
      </c>
      <c r="H1116" s="7" t="s">
        <v>3056</v>
      </c>
      <c r="I1116" s="9">
        <v>45302</v>
      </c>
    </row>
    <row r="1117" spans="1:9" x14ac:dyDescent="0.15">
      <c r="A1117" s="6">
        <v>1116</v>
      </c>
      <c r="B1117" s="7" t="s">
        <v>9</v>
      </c>
      <c r="C1117" s="8">
        <v>1883</v>
      </c>
      <c r="D1117" s="9">
        <v>45395</v>
      </c>
      <c r="E1117" s="13" t="str">
        <f>+HYPERLINK("http://trademark.i-assist.jp/data/china/image_1883th/76319951.pdf","76319951")</f>
        <v>76319951</v>
      </c>
      <c r="F1117" s="7" t="s">
        <v>3057</v>
      </c>
      <c r="G1117" s="7" t="s">
        <v>83</v>
      </c>
      <c r="H1117" s="7" t="s">
        <v>3058</v>
      </c>
      <c r="I1117" s="9">
        <v>45302</v>
      </c>
    </row>
    <row r="1118" spans="1:9" x14ac:dyDescent="0.15">
      <c r="A1118" s="6">
        <v>1117</v>
      </c>
      <c r="B1118" s="7" t="s">
        <v>9</v>
      </c>
      <c r="C1118" s="8">
        <v>1883</v>
      </c>
      <c r="D1118" s="9">
        <v>45395</v>
      </c>
      <c r="E1118" s="13" t="str">
        <f>+HYPERLINK("http://trademark.i-assist.jp/data/china/image_1883th/76320010.pdf","76320010")</f>
        <v>76320010</v>
      </c>
      <c r="F1118" s="7" t="s">
        <v>3059</v>
      </c>
      <c r="G1118" s="7" t="s">
        <v>3060</v>
      </c>
      <c r="H1118" s="7" t="s">
        <v>3061</v>
      </c>
      <c r="I1118" s="9">
        <v>45302</v>
      </c>
    </row>
    <row r="1119" spans="1:9" ht="27" x14ac:dyDescent="0.15">
      <c r="A1119" s="6">
        <v>1118</v>
      </c>
      <c r="B1119" s="7" t="s">
        <v>9</v>
      </c>
      <c r="C1119" s="8">
        <v>1883</v>
      </c>
      <c r="D1119" s="9">
        <v>45395</v>
      </c>
      <c r="E1119" s="13" t="str">
        <f>+HYPERLINK("http://trademark.i-assist.jp/data/china/image_1883th/76320728.pdf","76320728")</f>
        <v>76320728</v>
      </c>
      <c r="F1119" s="7" t="s">
        <v>3062</v>
      </c>
      <c r="G1119" s="7" t="s">
        <v>3063</v>
      </c>
      <c r="H1119" s="7" t="s">
        <v>3064</v>
      </c>
      <c r="I1119" s="9">
        <v>45302</v>
      </c>
    </row>
    <row r="1120" spans="1:9" x14ac:dyDescent="0.15">
      <c r="A1120" s="6">
        <v>1119</v>
      </c>
      <c r="B1120" s="7" t="s">
        <v>9</v>
      </c>
      <c r="C1120" s="8">
        <v>1883</v>
      </c>
      <c r="D1120" s="9">
        <v>45395</v>
      </c>
      <c r="E1120" s="13" t="str">
        <f>+HYPERLINK("http://trademark.i-assist.jp/data/china/image_1883th/76320878.pdf","76320878")</f>
        <v>76320878</v>
      </c>
      <c r="F1120" s="7" t="s">
        <v>3065</v>
      </c>
      <c r="G1120" s="7" t="s">
        <v>3066</v>
      </c>
      <c r="H1120" s="7" t="s">
        <v>3067</v>
      </c>
      <c r="I1120" s="9">
        <v>45302</v>
      </c>
    </row>
    <row r="1121" spans="1:9" x14ac:dyDescent="0.15">
      <c r="A1121" s="6">
        <v>1120</v>
      </c>
      <c r="B1121" s="7" t="s">
        <v>9</v>
      </c>
      <c r="C1121" s="8">
        <v>1883</v>
      </c>
      <c r="D1121" s="9">
        <v>45395</v>
      </c>
      <c r="E1121" s="13" t="str">
        <f>+HYPERLINK("http://trademark.i-assist.jp/data/china/image_1883th/76321171.pdf","76321171")</f>
        <v>76321171</v>
      </c>
      <c r="F1121" s="7" t="s">
        <v>3068</v>
      </c>
      <c r="G1121" s="7" t="s">
        <v>3069</v>
      </c>
      <c r="H1121" s="7" t="s">
        <v>3070</v>
      </c>
      <c r="I1121" s="9">
        <v>45302</v>
      </c>
    </row>
    <row r="1122" spans="1:9" x14ac:dyDescent="0.15">
      <c r="A1122" s="6">
        <v>1121</v>
      </c>
      <c r="B1122" s="7" t="s">
        <v>9</v>
      </c>
      <c r="C1122" s="8">
        <v>1883</v>
      </c>
      <c r="D1122" s="9">
        <v>45395</v>
      </c>
      <c r="E1122" s="13" t="str">
        <f>+HYPERLINK("http://trademark.i-assist.jp/data/china/image_1883th/76321257.pdf","76321257")</f>
        <v>76321257</v>
      </c>
      <c r="F1122" s="7" t="s">
        <v>3071</v>
      </c>
      <c r="G1122" s="7" t="s">
        <v>3072</v>
      </c>
      <c r="H1122" s="7" t="s">
        <v>3073</v>
      </c>
      <c r="I1122" s="9">
        <v>45302</v>
      </c>
    </row>
    <row r="1123" spans="1:9" x14ac:dyDescent="0.15">
      <c r="A1123" s="6">
        <v>1122</v>
      </c>
      <c r="B1123" s="7" t="s">
        <v>9</v>
      </c>
      <c r="C1123" s="8">
        <v>1883</v>
      </c>
      <c r="D1123" s="9">
        <v>45395</v>
      </c>
      <c r="E1123" s="13" t="str">
        <f>+HYPERLINK("http://trademark.i-assist.jp/data/china/image_1883th/76321298.pdf","76321298")</f>
        <v>76321298</v>
      </c>
      <c r="F1123" s="7" t="s">
        <v>3074</v>
      </c>
      <c r="G1123" s="7" t="s">
        <v>3075</v>
      </c>
      <c r="H1123" s="7" t="s">
        <v>3076</v>
      </c>
      <c r="I1123" s="9">
        <v>45302</v>
      </c>
    </row>
    <row r="1124" spans="1:9" ht="27" x14ac:dyDescent="0.15">
      <c r="A1124" s="6">
        <v>1123</v>
      </c>
      <c r="B1124" s="7" t="s">
        <v>9</v>
      </c>
      <c r="C1124" s="8">
        <v>1883</v>
      </c>
      <c r="D1124" s="9">
        <v>45395</v>
      </c>
      <c r="E1124" s="13" t="str">
        <f>+HYPERLINK("http://trademark.i-assist.jp/data/china/image_1883th/76321563.pdf","76321563")</f>
        <v>76321563</v>
      </c>
      <c r="F1124" s="7" t="s">
        <v>3077</v>
      </c>
      <c r="G1124" s="7" t="s">
        <v>3078</v>
      </c>
      <c r="H1124" s="7" t="s">
        <v>3079</v>
      </c>
      <c r="I1124" s="9">
        <v>45302</v>
      </c>
    </row>
    <row r="1125" spans="1:9" x14ac:dyDescent="0.15">
      <c r="A1125" s="6">
        <v>1124</v>
      </c>
      <c r="B1125" s="7" t="s">
        <v>9</v>
      </c>
      <c r="C1125" s="8">
        <v>1883</v>
      </c>
      <c r="D1125" s="9">
        <v>45395</v>
      </c>
      <c r="E1125" s="13" t="str">
        <f>+HYPERLINK("http://trademark.i-assist.jp/data/china/image_1883th/76321570.pdf","76321570")</f>
        <v>76321570</v>
      </c>
      <c r="F1125" s="7" t="s">
        <v>3080</v>
      </c>
      <c r="G1125" s="7" t="s">
        <v>3081</v>
      </c>
      <c r="H1125" s="7" t="s">
        <v>3082</v>
      </c>
      <c r="I1125" s="9">
        <v>45302</v>
      </c>
    </row>
    <row r="1126" spans="1:9" x14ac:dyDescent="0.15">
      <c r="A1126" s="6">
        <v>1125</v>
      </c>
      <c r="B1126" s="7" t="s">
        <v>9</v>
      </c>
      <c r="C1126" s="8">
        <v>1883</v>
      </c>
      <c r="D1126" s="9">
        <v>45395</v>
      </c>
      <c r="E1126" s="13" t="str">
        <f>+HYPERLINK("http://trademark.i-assist.jp/data/china/image_1883th/76321688.pdf","76321688")</f>
        <v>76321688</v>
      </c>
      <c r="F1126" s="7" t="s">
        <v>3083</v>
      </c>
      <c r="G1126" s="7" t="s">
        <v>3084</v>
      </c>
      <c r="H1126" s="7" t="s">
        <v>3085</v>
      </c>
      <c r="I1126" s="9">
        <v>45302</v>
      </c>
    </row>
    <row r="1127" spans="1:9" ht="27" x14ac:dyDescent="0.15">
      <c r="A1127" s="6">
        <v>1126</v>
      </c>
      <c r="B1127" s="7" t="s">
        <v>9</v>
      </c>
      <c r="C1127" s="8">
        <v>1883</v>
      </c>
      <c r="D1127" s="9">
        <v>45395</v>
      </c>
      <c r="E1127" s="13" t="str">
        <f>+HYPERLINK("http://trademark.i-assist.jp/data/china/image_1883th/76322408.pdf","76322408")</f>
        <v>76322408</v>
      </c>
      <c r="F1127" s="7" t="s">
        <v>3086</v>
      </c>
      <c r="G1127" s="7" t="s">
        <v>3087</v>
      </c>
      <c r="H1127" s="7" t="s">
        <v>3088</v>
      </c>
      <c r="I1127" s="9">
        <v>45302</v>
      </c>
    </row>
    <row r="1128" spans="1:9" x14ac:dyDescent="0.15">
      <c r="A1128" s="6">
        <v>1127</v>
      </c>
      <c r="B1128" s="7" t="s">
        <v>9</v>
      </c>
      <c r="C1128" s="8">
        <v>1883</v>
      </c>
      <c r="D1128" s="9">
        <v>45395</v>
      </c>
      <c r="E1128" s="13" t="str">
        <f>+HYPERLINK("http://trademark.i-assist.jp/data/china/image_1883th/76322419.pdf","76322419")</f>
        <v>76322419</v>
      </c>
      <c r="F1128" s="7" t="s">
        <v>3089</v>
      </c>
      <c r="G1128" s="7" t="s">
        <v>3090</v>
      </c>
      <c r="H1128" s="7" t="s">
        <v>3091</v>
      </c>
      <c r="I1128" s="9">
        <v>45302</v>
      </c>
    </row>
    <row r="1129" spans="1:9" ht="27" x14ac:dyDescent="0.15">
      <c r="A1129" s="6">
        <v>1128</v>
      </c>
      <c r="B1129" s="7" t="s">
        <v>9</v>
      </c>
      <c r="C1129" s="8">
        <v>1883</v>
      </c>
      <c r="D1129" s="9">
        <v>45395</v>
      </c>
      <c r="E1129" s="13" t="str">
        <f>+HYPERLINK("http://trademark.i-assist.jp/data/china/image_1883th/76322435.pdf","76322435")</f>
        <v>76322435</v>
      </c>
      <c r="F1129" s="7" t="s">
        <v>3092</v>
      </c>
      <c r="G1129" s="7" t="s">
        <v>3093</v>
      </c>
      <c r="H1129" s="7" t="s">
        <v>3094</v>
      </c>
      <c r="I1129" s="9">
        <v>45302</v>
      </c>
    </row>
    <row r="1130" spans="1:9" x14ac:dyDescent="0.15">
      <c r="A1130" s="6">
        <v>1129</v>
      </c>
      <c r="B1130" s="7" t="s">
        <v>9</v>
      </c>
      <c r="C1130" s="8">
        <v>1883</v>
      </c>
      <c r="D1130" s="9">
        <v>45395</v>
      </c>
      <c r="E1130" s="13" t="str">
        <f>+HYPERLINK("http://trademark.i-assist.jp/data/china/image_1883th/76322556.pdf","76322556")</f>
        <v>76322556</v>
      </c>
      <c r="F1130" s="7" t="s">
        <v>3095</v>
      </c>
      <c r="G1130" s="7" t="s">
        <v>3096</v>
      </c>
      <c r="H1130" s="7" t="s">
        <v>3097</v>
      </c>
      <c r="I1130" s="9">
        <v>45302</v>
      </c>
    </row>
    <row r="1131" spans="1:9" x14ac:dyDescent="0.15">
      <c r="A1131" s="6">
        <v>1130</v>
      </c>
      <c r="B1131" s="7" t="s">
        <v>9</v>
      </c>
      <c r="C1131" s="8">
        <v>1883</v>
      </c>
      <c r="D1131" s="9">
        <v>45395</v>
      </c>
      <c r="E1131" s="13" t="str">
        <f>+HYPERLINK("http://trademark.i-assist.jp/data/china/image_1883th/76322692.pdf","76322692")</f>
        <v>76322692</v>
      </c>
      <c r="F1131" s="7" t="s">
        <v>3098</v>
      </c>
      <c r="G1131" s="7" t="s">
        <v>3099</v>
      </c>
      <c r="H1131" s="7" t="s">
        <v>3100</v>
      </c>
      <c r="I1131" s="9">
        <v>45302</v>
      </c>
    </row>
    <row r="1132" spans="1:9" ht="27" x14ac:dyDescent="0.15">
      <c r="A1132" s="6">
        <v>1131</v>
      </c>
      <c r="B1132" s="7" t="s">
        <v>9</v>
      </c>
      <c r="C1132" s="8">
        <v>1883</v>
      </c>
      <c r="D1132" s="9">
        <v>45395</v>
      </c>
      <c r="E1132" s="13" t="str">
        <f>+HYPERLINK("http://trademark.i-assist.jp/data/china/image_1883th/76323551.pdf","76323551")</f>
        <v>76323551</v>
      </c>
      <c r="F1132" s="7" t="s">
        <v>3101</v>
      </c>
      <c r="G1132" s="7" t="s">
        <v>3102</v>
      </c>
      <c r="H1132" s="7" t="s">
        <v>3103</v>
      </c>
      <c r="I1132" s="9">
        <v>45302</v>
      </c>
    </row>
    <row r="1133" spans="1:9" ht="40.5" x14ac:dyDescent="0.15">
      <c r="A1133" s="6">
        <v>1132</v>
      </c>
      <c r="B1133" s="7" t="s">
        <v>9</v>
      </c>
      <c r="C1133" s="8">
        <v>1883</v>
      </c>
      <c r="D1133" s="9">
        <v>45395</v>
      </c>
      <c r="E1133" s="13" t="str">
        <f>+HYPERLINK("http://trademark.i-assist.jp/data/china/image_1883th/76323786.pdf","76323786")</f>
        <v>76323786</v>
      </c>
      <c r="F1133" s="7" t="s">
        <v>3104</v>
      </c>
      <c r="G1133" s="7" t="s">
        <v>3105</v>
      </c>
      <c r="H1133" s="7" t="s">
        <v>3106</v>
      </c>
      <c r="I1133" s="9">
        <v>45302</v>
      </c>
    </row>
    <row r="1134" spans="1:9" x14ac:dyDescent="0.15">
      <c r="A1134" s="6">
        <v>1133</v>
      </c>
      <c r="B1134" s="7" t="s">
        <v>9</v>
      </c>
      <c r="C1134" s="8">
        <v>1883</v>
      </c>
      <c r="D1134" s="9">
        <v>45395</v>
      </c>
      <c r="E1134" s="13" t="str">
        <f>+HYPERLINK("http://trademark.i-assist.jp/data/china/image_1883th/76323857.pdf","76323857")</f>
        <v>76323857</v>
      </c>
      <c r="F1134" s="7" t="s">
        <v>3107</v>
      </c>
      <c r="G1134" s="7" t="s">
        <v>3108</v>
      </c>
      <c r="H1134" s="7" t="s">
        <v>3109</v>
      </c>
      <c r="I1134" s="9">
        <v>45302</v>
      </c>
    </row>
    <row r="1135" spans="1:9" x14ac:dyDescent="0.15">
      <c r="A1135" s="6">
        <v>1134</v>
      </c>
      <c r="B1135" s="7" t="s">
        <v>9</v>
      </c>
      <c r="C1135" s="8">
        <v>1883</v>
      </c>
      <c r="D1135" s="9">
        <v>45395</v>
      </c>
      <c r="E1135" s="13" t="str">
        <f>+HYPERLINK("http://trademark.i-assist.jp/data/china/image_1883th/76324003.pdf","76324003")</f>
        <v>76324003</v>
      </c>
      <c r="F1135" s="7" t="s">
        <v>3110</v>
      </c>
      <c r="G1135" s="7" t="s">
        <v>3111</v>
      </c>
      <c r="H1135" s="7" t="s">
        <v>3112</v>
      </c>
      <c r="I1135" s="9">
        <v>45302</v>
      </c>
    </row>
    <row r="1136" spans="1:9" ht="27" x14ac:dyDescent="0.15">
      <c r="A1136" s="6">
        <v>1135</v>
      </c>
      <c r="B1136" s="7" t="s">
        <v>9</v>
      </c>
      <c r="C1136" s="8">
        <v>1883</v>
      </c>
      <c r="D1136" s="9">
        <v>45395</v>
      </c>
      <c r="E1136" s="13" t="str">
        <f>+HYPERLINK("http://trademark.i-assist.jp/data/china/image_1883th/76324581.pdf","76324581")</f>
        <v>76324581</v>
      </c>
      <c r="F1136" s="7" t="s">
        <v>3113</v>
      </c>
      <c r="G1136" s="7" t="s">
        <v>3114</v>
      </c>
      <c r="H1136" s="7" t="s">
        <v>3115</v>
      </c>
      <c r="I1136" s="9">
        <v>45302</v>
      </c>
    </row>
    <row r="1137" spans="1:9" ht="27" x14ac:dyDescent="0.15">
      <c r="A1137" s="6">
        <v>1136</v>
      </c>
      <c r="B1137" s="7" t="s">
        <v>9</v>
      </c>
      <c r="C1137" s="8">
        <v>1883</v>
      </c>
      <c r="D1137" s="9">
        <v>45395</v>
      </c>
      <c r="E1137" s="13" t="str">
        <f>+HYPERLINK("http://trademark.i-assist.jp/data/china/image_1883th/76325003.pdf","76325003")</f>
        <v>76325003</v>
      </c>
      <c r="F1137" s="7" t="s">
        <v>3116</v>
      </c>
      <c r="G1137" s="7" t="s">
        <v>3117</v>
      </c>
      <c r="H1137" s="7" t="s">
        <v>3118</v>
      </c>
      <c r="I1137" s="9">
        <v>45302</v>
      </c>
    </row>
    <row r="1138" spans="1:9" x14ac:dyDescent="0.15">
      <c r="A1138" s="6">
        <v>1137</v>
      </c>
      <c r="B1138" s="7" t="s">
        <v>9</v>
      </c>
      <c r="C1138" s="8">
        <v>1883</v>
      </c>
      <c r="D1138" s="9">
        <v>45395</v>
      </c>
      <c r="E1138" s="13" t="str">
        <f>+HYPERLINK("http://trademark.i-assist.jp/data/china/image_1883th/76325252.pdf","76325252")</f>
        <v>76325252</v>
      </c>
      <c r="F1138" s="7" t="s">
        <v>3119</v>
      </c>
      <c r="G1138" s="7" t="s">
        <v>3120</v>
      </c>
      <c r="H1138" s="7" t="s">
        <v>3121</v>
      </c>
      <c r="I1138" s="9">
        <v>45302</v>
      </c>
    </row>
    <row r="1139" spans="1:9" x14ac:dyDescent="0.15">
      <c r="A1139" s="6">
        <v>1138</v>
      </c>
      <c r="B1139" s="7" t="s">
        <v>9</v>
      </c>
      <c r="C1139" s="8">
        <v>1883</v>
      </c>
      <c r="D1139" s="9">
        <v>45395</v>
      </c>
      <c r="E1139" s="13" t="str">
        <f>+HYPERLINK("http://trademark.i-assist.jp/data/china/image_1883th/76325546.pdf","76325546")</f>
        <v>76325546</v>
      </c>
      <c r="F1139" s="7" t="s">
        <v>3122</v>
      </c>
      <c r="G1139" s="7" t="s">
        <v>3123</v>
      </c>
      <c r="H1139" s="7" t="s">
        <v>3124</v>
      </c>
      <c r="I1139" s="9">
        <v>45302</v>
      </c>
    </row>
    <row r="1140" spans="1:9" x14ac:dyDescent="0.15">
      <c r="A1140" s="6">
        <v>1139</v>
      </c>
      <c r="B1140" s="7" t="s">
        <v>9</v>
      </c>
      <c r="C1140" s="8">
        <v>1883</v>
      </c>
      <c r="D1140" s="9">
        <v>45395</v>
      </c>
      <c r="E1140" s="13" t="str">
        <f>+HYPERLINK("http://trademark.i-assist.jp/data/china/image_1883th/76325628.pdf","76325628")</f>
        <v>76325628</v>
      </c>
      <c r="F1140" s="7" t="s">
        <v>3125</v>
      </c>
      <c r="G1140" s="7" t="s">
        <v>3126</v>
      </c>
      <c r="H1140" s="7" t="s">
        <v>3127</v>
      </c>
      <c r="I1140" s="9">
        <v>45302</v>
      </c>
    </row>
    <row r="1141" spans="1:9" x14ac:dyDescent="0.15">
      <c r="A1141" s="6">
        <v>1140</v>
      </c>
      <c r="B1141" s="7" t="s">
        <v>9</v>
      </c>
      <c r="C1141" s="8">
        <v>1883</v>
      </c>
      <c r="D1141" s="9">
        <v>45395</v>
      </c>
      <c r="E1141" s="13" t="str">
        <f>+HYPERLINK("http://trademark.i-assist.jp/data/china/image_1883th/76325689.pdf","76325689")</f>
        <v>76325689</v>
      </c>
      <c r="F1141" s="7" t="s">
        <v>3128</v>
      </c>
      <c r="G1141" s="7" t="s">
        <v>3129</v>
      </c>
      <c r="H1141" s="7" t="s">
        <v>3130</v>
      </c>
      <c r="I1141" s="9">
        <v>45302</v>
      </c>
    </row>
    <row r="1142" spans="1:9" x14ac:dyDescent="0.15">
      <c r="A1142" s="6">
        <v>1141</v>
      </c>
      <c r="B1142" s="7" t="s">
        <v>9</v>
      </c>
      <c r="C1142" s="8">
        <v>1883</v>
      </c>
      <c r="D1142" s="9">
        <v>45395</v>
      </c>
      <c r="E1142" s="13" t="str">
        <f>+HYPERLINK("http://trademark.i-assist.jp/data/china/image_1883th/76326290.pdf","76326290")</f>
        <v>76326290</v>
      </c>
      <c r="F1142" s="7" t="s">
        <v>3131</v>
      </c>
      <c r="G1142" s="7" t="s">
        <v>3132</v>
      </c>
      <c r="H1142" s="7" t="s">
        <v>3133</v>
      </c>
      <c r="I1142" s="9">
        <v>45302</v>
      </c>
    </row>
    <row r="1143" spans="1:9" ht="27" x14ac:dyDescent="0.15">
      <c r="A1143" s="6">
        <v>1142</v>
      </c>
      <c r="B1143" s="7" t="s">
        <v>9</v>
      </c>
      <c r="C1143" s="8">
        <v>1883</v>
      </c>
      <c r="D1143" s="9">
        <v>45395</v>
      </c>
      <c r="E1143" s="13" t="str">
        <f>+HYPERLINK("http://trademark.i-assist.jp/data/china/image_1883th/76326420.pdf","76326420")</f>
        <v>76326420</v>
      </c>
      <c r="F1143" s="7" t="s">
        <v>3134</v>
      </c>
      <c r="G1143" s="7" t="s">
        <v>3135</v>
      </c>
      <c r="H1143" s="7" t="s">
        <v>3136</v>
      </c>
      <c r="I1143" s="9">
        <v>45302</v>
      </c>
    </row>
    <row r="1144" spans="1:9" x14ac:dyDescent="0.15">
      <c r="A1144" s="6">
        <v>1143</v>
      </c>
      <c r="B1144" s="7" t="s">
        <v>9</v>
      </c>
      <c r="C1144" s="8">
        <v>1883</v>
      </c>
      <c r="D1144" s="9">
        <v>45395</v>
      </c>
      <c r="E1144" s="13" t="str">
        <f>+HYPERLINK("http://trademark.i-assist.jp/data/china/image_1883th/76326940.pdf","76326940")</f>
        <v>76326940</v>
      </c>
      <c r="F1144" s="7" t="s">
        <v>3137</v>
      </c>
      <c r="G1144" s="7" t="s">
        <v>3138</v>
      </c>
      <c r="H1144" s="7" t="s">
        <v>3139</v>
      </c>
      <c r="I1144" s="9">
        <v>45302</v>
      </c>
    </row>
    <row r="1145" spans="1:9" x14ac:dyDescent="0.15">
      <c r="A1145" s="6">
        <v>1144</v>
      </c>
      <c r="B1145" s="7" t="s">
        <v>9</v>
      </c>
      <c r="C1145" s="8">
        <v>1883</v>
      </c>
      <c r="D1145" s="9">
        <v>45395</v>
      </c>
      <c r="E1145" s="13" t="str">
        <f>+HYPERLINK("http://trademark.i-assist.jp/data/china/image_1883th/76327614.pdf","76327614")</f>
        <v>76327614</v>
      </c>
      <c r="F1145" s="7" t="s">
        <v>3140</v>
      </c>
      <c r="G1145" s="7" t="s">
        <v>3141</v>
      </c>
      <c r="H1145" s="7" t="s">
        <v>3142</v>
      </c>
      <c r="I1145" s="9">
        <v>45302</v>
      </c>
    </row>
    <row r="1146" spans="1:9" x14ac:dyDescent="0.15">
      <c r="A1146" s="6">
        <v>1145</v>
      </c>
      <c r="B1146" s="7" t="s">
        <v>9</v>
      </c>
      <c r="C1146" s="8">
        <v>1883</v>
      </c>
      <c r="D1146" s="9">
        <v>45395</v>
      </c>
      <c r="E1146" s="13" t="str">
        <f>+HYPERLINK("http://trademark.i-assist.jp/data/china/image_1883th/76327623.pdf","76327623")</f>
        <v>76327623</v>
      </c>
      <c r="F1146" s="7" t="s">
        <v>3143</v>
      </c>
      <c r="G1146" s="7" t="s">
        <v>3141</v>
      </c>
      <c r="H1146" s="7" t="s">
        <v>3144</v>
      </c>
      <c r="I1146" s="9">
        <v>45302</v>
      </c>
    </row>
    <row r="1147" spans="1:9" x14ac:dyDescent="0.15">
      <c r="A1147" s="6">
        <v>1146</v>
      </c>
      <c r="B1147" s="7" t="s">
        <v>9</v>
      </c>
      <c r="C1147" s="8">
        <v>1883</v>
      </c>
      <c r="D1147" s="9">
        <v>45395</v>
      </c>
      <c r="E1147" s="13" t="str">
        <f>+HYPERLINK("http://trademark.i-assist.jp/data/china/image_1883th/76327628.pdf","76327628")</f>
        <v>76327628</v>
      </c>
      <c r="F1147" s="7" t="s">
        <v>3145</v>
      </c>
      <c r="G1147" s="7" t="s">
        <v>3146</v>
      </c>
      <c r="H1147" s="7" t="s">
        <v>3147</v>
      </c>
      <c r="I1147" s="9">
        <v>45302</v>
      </c>
    </row>
    <row r="1148" spans="1:9" x14ac:dyDescent="0.15">
      <c r="A1148" s="6">
        <v>1147</v>
      </c>
      <c r="B1148" s="7" t="s">
        <v>9</v>
      </c>
      <c r="C1148" s="8">
        <v>1883</v>
      </c>
      <c r="D1148" s="9">
        <v>45395</v>
      </c>
      <c r="E1148" s="13" t="str">
        <f>+HYPERLINK("http://trademark.i-assist.jp/data/china/image_1883th/76328171.pdf","76328171")</f>
        <v>76328171</v>
      </c>
      <c r="F1148" s="7" t="s">
        <v>3148</v>
      </c>
      <c r="G1148" s="7" t="s">
        <v>3149</v>
      </c>
      <c r="H1148" s="7" t="s">
        <v>3150</v>
      </c>
      <c r="I1148" s="9">
        <v>45302</v>
      </c>
    </row>
    <row r="1149" spans="1:9" x14ac:dyDescent="0.15">
      <c r="A1149" s="6">
        <v>1148</v>
      </c>
      <c r="B1149" s="7" t="s">
        <v>9</v>
      </c>
      <c r="C1149" s="8">
        <v>1883</v>
      </c>
      <c r="D1149" s="9">
        <v>45395</v>
      </c>
      <c r="E1149" s="13" t="str">
        <f>+HYPERLINK("http://trademark.i-assist.jp/data/china/image_1883th/76329241.pdf","76329241")</f>
        <v>76329241</v>
      </c>
      <c r="F1149" s="7" t="s">
        <v>3151</v>
      </c>
      <c r="G1149" s="7" t="s">
        <v>3152</v>
      </c>
      <c r="H1149" s="7" t="s">
        <v>3153</v>
      </c>
      <c r="I1149" s="9">
        <v>45302</v>
      </c>
    </row>
    <row r="1150" spans="1:9" x14ac:dyDescent="0.15">
      <c r="A1150" s="6">
        <v>1149</v>
      </c>
      <c r="B1150" s="7" t="s">
        <v>9</v>
      </c>
      <c r="C1150" s="8">
        <v>1883</v>
      </c>
      <c r="D1150" s="9">
        <v>45395</v>
      </c>
      <c r="E1150" s="13" t="str">
        <f>+HYPERLINK("http://trademark.i-assist.jp/data/china/image_1883th/76329454.pdf","76329454")</f>
        <v>76329454</v>
      </c>
      <c r="F1150" s="7" t="s">
        <v>3154</v>
      </c>
      <c r="G1150" s="7" t="s">
        <v>3155</v>
      </c>
      <c r="H1150" s="7" t="s">
        <v>3156</v>
      </c>
      <c r="I1150" s="9">
        <v>45302</v>
      </c>
    </row>
    <row r="1151" spans="1:9" x14ac:dyDescent="0.15">
      <c r="A1151" s="6">
        <v>1150</v>
      </c>
      <c r="B1151" s="7" t="s">
        <v>9</v>
      </c>
      <c r="C1151" s="8">
        <v>1883</v>
      </c>
      <c r="D1151" s="9">
        <v>45395</v>
      </c>
      <c r="E1151" s="13" t="str">
        <f>+HYPERLINK("http://trademark.i-assist.jp/data/china/image_1883th/76329626.pdf","76329626")</f>
        <v>76329626</v>
      </c>
      <c r="F1151" s="7" t="s">
        <v>3157</v>
      </c>
      <c r="G1151" s="7" t="s">
        <v>3158</v>
      </c>
      <c r="H1151" s="7" t="s">
        <v>3159</v>
      </c>
      <c r="I1151" s="9">
        <v>45302</v>
      </c>
    </row>
    <row r="1152" spans="1:9" x14ac:dyDescent="0.15">
      <c r="A1152" s="6">
        <v>1151</v>
      </c>
      <c r="B1152" s="7" t="s">
        <v>9</v>
      </c>
      <c r="C1152" s="8">
        <v>1883</v>
      </c>
      <c r="D1152" s="9">
        <v>45395</v>
      </c>
      <c r="E1152" s="13" t="str">
        <f>+HYPERLINK("http://trademark.i-assist.jp/data/china/image_1883th/76329637.pdf","76329637")</f>
        <v>76329637</v>
      </c>
      <c r="F1152" s="7" t="s">
        <v>3160</v>
      </c>
      <c r="G1152" s="7" t="s">
        <v>3161</v>
      </c>
      <c r="H1152" s="7" t="s">
        <v>3162</v>
      </c>
      <c r="I1152" s="9">
        <v>45302</v>
      </c>
    </row>
    <row r="1153" spans="1:9" x14ac:dyDescent="0.15">
      <c r="A1153" s="6">
        <v>1152</v>
      </c>
      <c r="B1153" s="7" t="s">
        <v>9</v>
      </c>
      <c r="C1153" s="8">
        <v>1883</v>
      </c>
      <c r="D1153" s="9">
        <v>45395</v>
      </c>
      <c r="E1153" s="13" t="str">
        <f>+HYPERLINK("http://trademark.i-assist.jp/data/china/image_1883th/76329663.pdf","76329663")</f>
        <v>76329663</v>
      </c>
      <c r="F1153" s="7" t="s">
        <v>3163</v>
      </c>
      <c r="G1153" s="7" t="s">
        <v>3164</v>
      </c>
      <c r="H1153" s="7" t="s">
        <v>3165</v>
      </c>
      <c r="I1153" s="9">
        <v>45302</v>
      </c>
    </row>
    <row r="1154" spans="1:9" x14ac:dyDescent="0.15">
      <c r="A1154" s="6">
        <v>1153</v>
      </c>
      <c r="B1154" s="7" t="s">
        <v>9</v>
      </c>
      <c r="C1154" s="8">
        <v>1883</v>
      </c>
      <c r="D1154" s="9">
        <v>45395</v>
      </c>
      <c r="E1154" s="13" t="str">
        <f>+HYPERLINK("http://trademark.i-assist.jp/data/china/image_1883th/76329723.pdf","76329723")</f>
        <v>76329723</v>
      </c>
      <c r="F1154" s="7" t="s">
        <v>3166</v>
      </c>
      <c r="G1154" s="7" t="s">
        <v>3167</v>
      </c>
      <c r="H1154" s="7" t="s">
        <v>3168</v>
      </c>
      <c r="I1154" s="9">
        <v>45302</v>
      </c>
    </row>
    <row r="1155" spans="1:9" x14ac:dyDescent="0.15">
      <c r="A1155" s="6">
        <v>1154</v>
      </c>
      <c r="B1155" s="7" t="s">
        <v>9</v>
      </c>
      <c r="C1155" s="8">
        <v>1883</v>
      </c>
      <c r="D1155" s="9">
        <v>45395</v>
      </c>
      <c r="E1155" s="13" t="str">
        <f>+HYPERLINK("http://trademark.i-assist.jp/data/china/image_1883th/76330071.pdf","76330071")</f>
        <v>76330071</v>
      </c>
      <c r="F1155" s="7" t="s">
        <v>3169</v>
      </c>
      <c r="G1155" s="7" t="s">
        <v>3170</v>
      </c>
      <c r="H1155" s="7" t="s">
        <v>3171</v>
      </c>
      <c r="I1155" s="9">
        <v>45302</v>
      </c>
    </row>
    <row r="1156" spans="1:9" x14ac:dyDescent="0.15">
      <c r="A1156" s="6">
        <v>1155</v>
      </c>
      <c r="B1156" s="7" t="s">
        <v>9</v>
      </c>
      <c r="C1156" s="8">
        <v>1883</v>
      </c>
      <c r="D1156" s="9">
        <v>45395</v>
      </c>
      <c r="E1156" s="13" t="str">
        <f>+HYPERLINK("http://trademark.i-assist.jp/data/china/image_1883th/76330562.pdf","76330562")</f>
        <v>76330562</v>
      </c>
      <c r="F1156" s="7" t="s">
        <v>3172</v>
      </c>
      <c r="G1156" s="7" t="s">
        <v>3173</v>
      </c>
      <c r="H1156" s="7" t="s">
        <v>3174</v>
      </c>
      <c r="I1156" s="9">
        <v>45302</v>
      </c>
    </row>
    <row r="1157" spans="1:9" x14ac:dyDescent="0.15">
      <c r="A1157" s="6">
        <v>1156</v>
      </c>
      <c r="B1157" s="7" t="s">
        <v>9</v>
      </c>
      <c r="C1157" s="8">
        <v>1883</v>
      </c>
      <c r="D1157" s="9">
        <v>45395</v>
      </c>
      <c r="E1157" s="13" t="str">
        <f>+HYPERLINK("http://trademark.i-assist.jp/data/china/image_1883th/76330862.pdf","76330862")</f>
        <v>76330862</v>
      </c>
      <c r="F1157" s="7" t="s">
        <v>57</v>
      </c>
      <c r="G1157" s="7" t="s">
        <v>3175</v>
      </c>
      <c r="H1157" s="7" t="s">
        <v>3176</v>
      </c>
      <c r="I1157" s="9">
        <v>45302</v>
      </c>
    </row>
    <row r="1158" spans="1:9" x14ac:dyDescent="0.15">
      <c r="A1158" s="6">
        <v>1157</v>
      </c>
      <c r="B1158" s="7" t="s">
        <v>9</v>
      </c>
      <c r="C1158" s="8">
        <v>1883</v>
      </c>
      <c r="D1158" s="9">
        <v>45395</v>
      </c>
      <c r="E1158" s="13" t="str">
        <f>+HYPERLINK("http://trademark.i-assist.jp/data/china/image_1883th/76330920.pdf","76330920")</f>
        <v>76330920</v>
      </c>
      <c r="F1158" s="7" t="s">
        <v>3177</v>
      </c>
      <c r="G1158" s="7" t="s">
        <v>3178</v>
      </c>
      <c r="H1158" s="7" t="s">
        <v>3179</v>
      </c>
      <c r="I1158" s="9">
        <v>45302</v>
      </c>
    </row>
    <row r="1159" spans="1:9" x14ac:dyDescent="0.15">
      <c r="A1159" s="6">
        <v>1158</v>
      </c>
      <c r="B1159" s="7" t="s">
        <v>9</v>
      </c>
      <c r="C1159" s="8">
        <v>1883</v>
      </c>
      <c r="D1159" s="9">
        <v>45395</v>
      </c>
      <c r="E1159" s="13" t="str">
        <f>+HYPERLINK("http://trademark.i-assist.jp/data/china/image_1883th/76331728.pdf","76331728")</f>
        <v>76331728</v>
      </c>
      <c r="F1159" s="7" t="s">
        <v>3180</v>
      </c>
      <c r="G1159" s="7" t="s">
        <v>3181</v>
      </c>
      <c r="H1159" s="7" t="s">
        <v>3182</v>
      </c>
      <c r="I1159" s="9">
        <v>45302</v>
      </c>
    </row>
    <row r="1160" spans="1:9" x14ac:dyDescent="0.15">
      <c r="A1160" s="6">
        <v>1159</v>
      </c>
      <c r="B1160" s="7" t="s">
        <v>9</v>
      </c>
      <c r="C1160" s="8">
        <v>1883</v>
      </c>
      <c r="D1160" s="9">
        <v>45395</v>
      </c>
      <c r="E1160" s="13" t="str">
        <f>+HYPERLINK("http://trademark.i-assist.jp/data/china/image_1883th/76332686.pdf","76332686")</f>
        <v>76332686</v>
      </c>
      <c r="F1160" s="7" t="s">
        <v>3183</v>
      </c>
      <c r="G1160" s="7" t="s">
        <v>3184</v>
      </c>
      <c r="H1160" s="7" t="s">
        <v>3185</v>
      </c>
      <c r="I1160" s="9">
        <v>45302</v>
      </c>
    </row>
    <row r="1161" spans="1:9" x14ac:dyDescent="0.15">
      <c r="A1161" s="6">
        <v>1160</v>
      </c>
      <c r="B1161" s="7" t="s">
        <v>9</v>
      </c>
      <c r="C1161" s="8">
        <v>1883</v>
      </c>
      <c r="D1161" s="9">
        <v>45395</v>
      </c>
      <c r="E1161" s="13" t="str">
        <f>+HYPERLINK("http://trademark.i-assist.jp/data/china/image_1883th/76332921.pdf","76332921")</f>
        <v>76332921</v>
      </c>
      <c r="F1161" s="7" t="s">
        <v>3186</v>
      </c>
      <c r="G1161" s="7" t="s">
        <v>3187</v>
      </c>
      <c r="H1161" s="7" t="s">
        <v>3188</v>
      </c>
      <c r="I1161" s="9">
        <v>45302</v>
      </c>
    </row>
    <row r="1162" spans="1:9" x14ac:dyDescent="0.15">
      <c r="A1162" s="6">
        <v>1161</v>
      </c>
      <c r="B1162" s="7" t="s">
        <v>9</v>
      </c>
      <c r="C1162" s="8">
        <v>1883</v>
      </c>
      <c r="D1162" s="9">
        <v>45395</v>
      </c>
      <c r="E1162" s="13" t="str">
        <f>+HYPERLINK("http://trademark.i-assist.jp/data/china/image_1883th/76333015.pdf","76333015")</f>
        <v>76333015</v>
      </c>
      <c r="F1162" s="7" t="s">
        <v>3189</v>
      </c>
      <c r="G1162" s="7" t="s">
        <v>3190</v>
      </c>
      <c r="H1162" s="7" t="s">
        <v>3191</v>
      </c>
      <c r="I1162" s="9">
        <v>45302</v>
      </c>
    </row>
    <row r="1163" spans="1:9" x14ac:dyDescent="0.15">
      <c r="A1163" s="6">
        <v>1162</v>
      </c>
      <c r="B1163" s="7" t="s">
        <v>9</v>
      </c>
      <c r="C1163" s="8">
        <v>1883</v>
      </c>
      <c r="D1163" s="9">
        <v>45395</v>
      </c>
      <c r="E1163" s="13" t="str">
        <f>+HYPERLINK("http://trademark.i-assist.jp/data/china/image_1883th/76333438.pdf","76333438")</f>
        <v>76333438</v>
      </c>
      <c r="F1163" s="7" t="s">
        <v>3192</v>
      </c>
      <c r="G1163" s="7" t="s">
        <v>3193</v>
      </c>
      <c r="H1163" s="7" t="s">
        <v>3194</v>
      </c>
      <c r="I1163" s="9">
        <v>45302</v>
      </c>
    </row>
    <row r="1164" spans="1:9" x14ac:dyDescent="0.15">
      <c r="A1164" s="6">
        <v>1163</v>
      </c>
      <c r="B1164" s="7" t="s">
        <v>9</v>
      </c>
      <c r="C1164" s="8">
        <v>1883</v>
      </c>
      <c r="D1164" s="9">
        <v>45395</v>
      </c>
      <c r="E1164" s="13" t="str">
        <f>+HYPERLINK("http://trademark.i-assist.jp/data/china/image_1883th/76333707.pdf","76333707")</f>
        <v>76333707</v>
      </c>
      <c r="F1164" s="7" t="s">
        <v>3195</v>
      </c>
      <c r="G1164" s="7" t="s">
        <v>3196</v>
      </c>
      <c r="H1164" s="7" t="s">
        <v>3197</v>
      </c>
      <c r="I1164" s="9">
        <v>45302</v>
      </c>
    </row>
    <row r="1165" spans="1:9" ht="27" x14ac:dyDescent="0.15">
      <c r="A1165" s="6">
        <v>1164</v>
      </c>
      <c r="B1165" s="7" t="s">
        <v>9</v>
      </c>
      <c r="C1165" s="8">
        <v>1883</v>
      </c>
      <c r="D1165" s="9">
        <v>45395</v>
      </c>
      <c r="E1165" s="13" t="str">
        <f>+HYPERLINK("http://trademark.i-assist.jp/data/china/image_1883th/76334053.pdf","76334053")</f>
        <v>76334053</v>
      </c>
      <c r="F1165" s="7" t="s">
        <v>3198</v>
      </c>
      <c r="G1165" s="7" t="s">
        <v>3199</v>
      </c>
      <c r="H1165" s="7" t="s">
        <v>3200</v>
      </c>
      <c r="I1165" s="9">
        <v>45302</v>
      </c>
    </row>
    <row r="1166" spans="1:9" x14ac:dyDescent="0.15">
      <c r="A1166" s="6">
        <v>1165</v>
      </c>
      <c r="B1166" s="7" t="s">
        <v>9</v>
      </c>
      <c r="C1166" s="8">
        <v>1883</v>
      </c>
      <c r="D1166" s="9">
        <v>45395</v>
      </c>
      <c r="E1166" s="13" t="str">
        <f>+HYPERLINK("http://trademark.i-assist.jp/data/china/image_1883th/76334132.pdf","76334132")</f>
        <v>76334132</v>
      </c>
      <c r="F1166" s="7" t="s">
        <v>3201</v>
      </c>
      <c r="G1166" s="7" t="s">
        <v>3202</v>
      </c>
      <c r="H1166" s="7" t="s">
        <v>3203</v>
      </c>
      <c r="I1166" s="9">
        <v>45302</v>
      </c>
    </row>
    <row r="1167" spans="1:9" ht="27" x14ac:dyDescent="0.15">
      <c r="A1167" s="6">
        <v>1166</v>
      </c>
      <c r="B1167" s="7" t="s">
        <v>9</v>
      </c>
      <c r="C1167" s="8">
        <v>1883</v>
      </c>
      <c r="D1167" s="9">
        <v>45395</v>
      </c>
      <c r="E1167" s="13" t="str">
        <f>+HYPERLINK("http://trademark.i-assist.jp/data/china/image_1883th/76334158.pdf","76334158")</f>
        <v>76334158</v>
      </c>
      <c r="F1167" s="7" t="s">
        <v>3204</v>
      </c>
      <c r="G1167" s="7" t="s">
        <v>3205</v>
      </c>
      <c r="H1167" s="7" t="s">
        <v>3206</v>
      </c>
      <c r="I1167" s="9">
        <v>45302</v>
      </c>
    </row>
    <row r="1168" spans="1:9" x14ac:dyDescent="0.15">
      <c r="A1168" s="6">
        <v>1167</v>
      </c>
      <c r="B1168" s="7" t="s">
        <v>9</v>
      </c>
      <c r="C1168" s="8">
        <v>1883</v>
      </c>
      <c r="D1168" s="9">
        <v>45395</v>
      </c>
      <c r="E1168" s="13" t="str">
        <f>+HYPERLINK("http://trademark.i-assist.jp/data/china/image_1883th/76334424.pdf","76334424")</f>
        <v>76334424</v>
      </c>
      <c r="F1168" s="7" t="s">
        <v>3207</v>
      </c>
      <c r="G1168" s="7" t="s">
        <v>3208</v>
      </c>
      <c r="H1168" s="7" t="s">
        <v>3209</v>
      </c>
      <c r="I1168" s="9">
        <v>45302</v>
      </c>
    </row>
    <row r="1169" spans="1:9" x14ac:dyDescent="0.15">
      <c r="A1169" s="6">
        <v>1168</v>
      </c>
      <c r="B1169" s="7" t="s">
        <v>9</v>
      </c>
      <c r="C1169" s="8">
        <v>1883</v>
      </c>
      <c r="D1169" s="9">
        <v>45395</v>
      </c>
      <c r="E1169" s="13" t="str">
        <f>+HYPERLINK("http://trademark.i-assist.jp/data/china/image_1883th/76335162.pdf","76335162")</f>
        <v>76335162</v>
      </c>
      <c r="F1169" s="7" t="s">
        <v>3210</v>
      </c>
      <c r="G1169" s="7" t="s">
        <v>3211</v>
      </c>
      <c r="H1169" s="7" t="s">
        <v>3212</v>
      </c>
      <c r="I1169" s="9">
        <v>45302</v>
      </c>
    </row>
    <row r="1170" spans="1:9" x14ac:dyDescent="0.15">
      <c r="A1170" s="6">
        <v>1169</v>
      </c>
      <c r="B1170" s="7" t="s">
        <v>9</v>
      </c>
      <c r="C1170" s="8">
        <v>1883</v>
      </c>
      <c r="D1170" s="9">
        <v>45395</v>
      </c>
      <c r="E1170" s="13" t="str">
        <f>+HYPERLINK("http://trademark.i-assist.jp/data/china/image_1883th/76335230.pdf","76335230")</f>
        <v>76335230</v>
      </c>
      <c r="F1170" s="7" t="s">
        <v>3213</v>
      </c>
      <c r="G1170" s="7" t="s">
        <v>3214</v>
      </c>
      <c r="H1170" s="7" t="s">
        <v>3215</v>
      </c>
      <c r="I1170" s="9">
        <v>45302</v>
      </c>
    </row>
    <row r="1171" spans="1:9" x14ac:dyDescent="0.15">
      <c r="A1171" s="6">
        <v>1170</v>
      </c>
      <c r="B1171" s="7" t="s">
        <v>9</v>
      </c>
      <c r="C1171" s="8">
        <v>1883</v>
      </c>
      <c r="D1171" s="9">
        <v>45395</v>
      </c>
      <c r="E1171" s="13" t="str">
        <f>+HYPERLINK("http://trademark.i-assist.jp/data/china/image_1883th/76335234.pdf","76335234")</f>
        <v>76335234</v>
      </c>
      <c r="F1171" s="7" t="s">
        <v>3216</v>
      </c>
      <c r="G1171" s="7" t="s">
        <v>3081</v>
      </c>
      <c r="H1171" s="7" t="s">
        <v>3217</v>
      </c>
      <c r="I1171" s="9">
        <v>45302</v>
      </c>
    </row>
    <row r="1172" spans="1:9" x14ac:dyDescent="0.15">
      <c r="A1172" s="6">
        <v>1171</v>
      </c>
      <c r="B1172" s="7" t="s">
        <v>9</v>
      </c>
      <c r="C1172" s="8">
        <v>1883</v>
      </c>
      <c r="D1172" s="9">
        <v>45395</v>
      </c>
      <c r="E1172" s="13" t="str">
        <f>+HYPERLINK("http://trademark.i-assist.jp/data/china/image_1883th/76335285.pdf","76335285")</f>
        <v>76335285</v>
      </c>
      <c r="F1172" s="7" t="s">
        <v>3218</v>
      </c>
      <c r="G1172" s="7" t="s">
        <v>3219</v>
      </c>
      <c r="H1172" s="7" t="s">
        <v>3220</v>
      </c>
      <c r="I1172" s="9">
        <v>45302</v>
      </c>
    </row>
    <row r="1173" spans="1:9" x14ac:dyDescent="0.15">
      <c r="A1173" s="6">
        <v>1172</v>
      </c>
      <c r="B1173" s="7" t="s">
        <v>9</v>
      </c>
      <c r="C1173" s="8">
        <v>1883</v>
      </c>
      <c r="D1173" s="9">
        <v>45395</v>
      </c>
      <c r="E1173" s="13" t="str">
        <f>+HYPERLINK("http://trademark.i-assist.jp/data/china/image_1883th/76335664.pdf","76335664")</f>
        <v>76335664</v>
      </c>
      <c r="F1173" s="7" t="s">
        <v>3221</v>
      </c>
      <c r="G1173" s="7" t="s">
        <v>3222</v>
      </c>
      <c r="H1173" s="7" t="s">
        <v>3223</v>
      </c>
      <c r="I1173" s="9">
        <v>45302</v>
      </c>
    </row>
    <row r="1174" spans="1:9" x14ac:dyDescent="0.15">
      <c r="A1174" s="6">
        <v>1173</v>
      </c>
      <c r="B1174" s="7" t="s">
        <v>9</v>
      </c>
      <c r="C1174" s="8">
        <v>1883</v>
      </c>
      <c r="D1174" s="9">
        <v>45395</v>
      </c>
      <c r="E1174" s="13" t="str">
        <f>+HYPERLINK("http://trademark.i-assist.jp/data/china/image_1883th/76336019.pdf","76336019")</f>
        <v>76336019</v>
      </c>
      <c r="F1174" s="7" t="s">
        <v>3224</v>
      </c>
      <c r="G1174" s="7" t="s">
        <v>3225</v>
      </c>
      <c r="H1174" s="7" t="s">
        <v>3226</v>
      </c>
      <c r="I1174" s="9">
        <v>45302</v>
      </c>
    </row>
    <row r="1175" spans="1:9" x14ac:dyDescent="0.15">
      <c r="A1175" s="6">
        <v>1174</v>
      </c>
      <c r="B1175" s="7" t="s">
        <v>9</v>
      </c>
      <c r="C1175" s="8">
        <v>1883</v>
      </c>
      <c r="D1175" s="9">
        <v>45395</v>
      </c>
      <c r="E1175" s="13" t="str">
        <f>+HYPERLINK("http://trademark.i-assist.jp/data/china/image_1883th/76336323.pdf","76336323")</f>
        <v>76336323</v>
      </c>
      <c r="F1175" s="7" t="s">
        <v>3227</v>
      </c>
      <c r="G1175" s="7" t="s">
        <v>3228</v>
      </c>
      <c r="H1175" s="7" t="s">
        <v>3229</v>
      </c>
      <c r="I1175" s="9">
        <v>45302</v>
      </c>
    </row>
    <row r="1176" spans="1:9" x14ac:dyDescent="0.15">
      <c r="A1176" s="6">
        <v>1175</v>
      </c>
      <c r="B1176" s="7" t="s">
        <v>9</v>
      </c>
      <c r="C1176" s="8">
        <v>1883</v>
      </c>
      <c r="D1176" s="9">
        <v>45395</v>
      </c>
      <c r="E1176" s="13" t="str">
        <f>+HYPERLINK("http://trademark.i-assist.jp/data/china/image_1883th/76336444.pdf","76336444")</f>
        <v>76336444</v>
      </c>
      <c r="F1176" s="7" t="s">
        <v>57</v>
      </c>
      <c r="G1176" s="7" t="s">
        <v>3230</v>
      </c>
      <c r="H1176" s="7" t="s">
        <v>3231</v>
      </c>
      <c r="I1176" s="9">
        <v>45302</v>
      </c>
    </row>
    <row r="1177" spans="1:9" x14ac:dyDescent="0.15">
      <c r="A1177" s="6">
        <v>1176</v>
      </c>
      <c r="B1177" s="7" t="s">
        <v>9</v>
      </c>
      <c r="C1177" s="8">
        <v>1883</v>
      </c>
      <c r="D1177" s="9">
        <v>45395</v>
      </c>
      <c r="E1177" s="13" t="str">
        <f>+HYPERLINK("http://trademark.i-assist.jp/data/china/image_1883th/76336462.pdf","76336462")</f>
        <v>76336462</v>
      </c>
      <c r="F1177" s="7" t="s">
        <v>3232</v>
      </c>
      <c r="G1177" s="7" t="s">
        <v>2600</v>
      </c>
      <c r="H1177" s="7" t="s">
        <v>3233</v>
      </c>
      <c r="I1177" s="9">
        <v>45302</v>
      </c>
    </row>
    <row r="1178" spans="1:9" x14ac:dyDescent="0.15">
      <c r="A1178" s="6">
        <v>1177</v>
      </c>
      <c r="B1178" s="7" t="s">
        <v>9</v>
      </c>
      <c r="C1178" s="8">
        <v>1883</v>
      </c>
      <c r="D1178" s="9">
        <v>45395</v>
      </c>
      <c r="E1178" s="13" t="str">
        <f>+HYPERLINK("http://trademark.i-assist.jp/data/china/image_1883th/76336550.pdf","76336550")</f>
        <v>76336550</v>
      </c>
      <c r="F1178" s="7" t="s">
        <v>3234</v>
      </c>
      <c r="G1178" s="7" t="s">
        <v>3235</v>
      </c>
      <c r="H1178" s="7" t="s">
        <v>3236</v>
      </c>
      <c r="I1178" s="9">
        <v>45302</v>
      </c>
    </row>
    <row r="1179" spans="1:9" x14ac:dyDescent="0.15">
      <c r="A1179" s="6">
        <v>1178</v>
      </c>
      <c r="B1179" s="7" t="s">
        <v>9</v>
      </c>
      <c r="C1179" s="8">
        <v>1883</v>
      </c>
      <c r="D1179" s="9">
        <v>45395</v>
      </c>
      <c r="E1179" s="13" t="str">
        <f>+HYPERLINK("http://trademark.i-assist.jp/data/china/image_1883th/76336858.pdf","76336858")</f>
        <v>76336858</v>
      </c>
      <c r="F1179" s="7" t="s">
        <v>3237</v>
      </c>
      <c r="G1179" s="7" t="s">
        <v>3238</v>
      </c>
      <c r="H1179" s="7" t="s">
        <v>3239</v>
      </c>
      <c r="I1179" s="9">
        <v>45302</v>
      </c>
    </row>
    <row r="1180" spans="1:9" ht="27" x14ac:dyDescent="0.15">
      <c r="A1180" s="6">
        <v>1179</v>
      </c>
      <c r="B1180" s="7" t="s">
        <v>9</v>
      </c>
      <c r="C1180" s="8">
        <v>1883</v>
      </c>
      <c r="D1180" s="9">
        <v>45395</v>
      </c>
      <c r="E1180" s="13" t="str">
        <f>+HYPERLINK("http://trademark.i-assist.jp/data/china/image_1883th/76336927.pdf","76336927")</f>
        <v>76336927</v>
      </c>
      <c r="F1180" s="7" t="s">
        <v>3240</v>
      </c>
      <c r="G1180" s="7" t="s">
        <v>3241</v>
      </c>
      <c r="H1180" s="7" t="s">
        <v>3242</v>
      </c>
      <c r="I1180" s="9">
        <v>45302</v>
      </c>
    </row>
    <row r="1181" spans="1:9" x14ac:dyDescent="0.15">
      <c r="A1181" s="6">
        <v>1180</v>
      </c>
      <c r="B1181" s="7" t="s">
        <v>9</v>
      </c>
      <c r="C1181" s="8">
        <v>1883</v>
      </c>
      <c r="D1181" s="9">
        <v>45395</v>
      </c>
      <c r="E1181" s="13" t="str">
        <f>+HYPERLINK("http://trademark.i-assist.jp/data/china/image_1883th/76337192.pdf","76337192")</f>
        <v>76337192</v>
      </c>
      <c r="F1181" s="7" t="s">
        <v>3243</v>
      </c>
      <c r="G1181" s="7" t="s">
        <v>2855</v>
      </c>
      <c r="H1181" s="7" t="s">
        <v>3244</v>
      </c>
      <c r="I1181" s="9">
        <v>45302</v>
      </c>
    </row>
    <row r="1182" spans="1:9" x14ac:dyDescent="0.15">
      <c r="A1182" s="6">
        <v>1181</v>
      </c>
      <c r="B1182" s="7" t="s">
        <v>9</v>
      </c>
      <c r="C1182" s="8">
        <v>1883</v>
      </c>
      <c r="D1182" s="9">
        <v>45395</v>
      </c>
      <c r="E1182" s="13" t="str">
        <f>+HYPERLINK("http://trademark.i-assist.jp/data/china/image_1883th/76337374.pdf","76337374")</f>
        <v>76337374</v>
      </c>
      <c r="F1182" s="7" t="s">
        <v>3245</v>
      </c>
      <c r="G1182" s="7" t="s">
        <v>3246</v>
      </c>
      <c r="H1182" s="7" t="s">
        <v>3247</v>
      </c>
      <c r="I1182" s="9">
        <v>45302</v>
      </c>
    </row>
    <row r="1183" spans="1:9" x14ac:dyDescent="0.15">
      <c r="A1183" s="6">
        <v>1182</v>
      </c>
      <c r="B1183" s="7" t="s">
        <v>9</v>
      </c>
      <c r="C1183" s="8">
        <v>1883</v>
      </c>
      <c r="D1183" s="9">
        <v>45395</v>
      </c>
      <c r="E1183" s="13" t="str">
        <f>+HYPERLINK("http://trademark.i-assist.jp/data/china/image_1883th/76337708.pdf","76337708")</f>
        <v>76337708</v>
      </c>
      <c r="F1183" s="7" t="s">
        <v>3248</v>
      </c>
      <c r="G1183" s="7" t="s">
        <v>3249</v>
      </c>
      <c r="H1183" s="7" t="s">
        <v>3250</v>
      </c>
      <c r="I1183" s="9">
        <v>45302</v>
      </c>
    </row>
    <row r="1184" spans="1:9" x14ac:dyDescent="0.15">
      <c r="A1184" s="6">
        <v>1183</v>
      </c>
      <c r="B1184" s="7" t="s">
        <v>9</v>
      </c>
      <c r="C1184" s="8">
        <v>1883</v>
      </c>
      <c r="D1184" s="9">
        <v>45395</v>
      </c>
      <c r="E1184" s="13" t="str">
        <f>+HYPERLINK("http://trademark.i-assist.jp/data/china/image_1883th/76337745.pdf","76337745")</f>
        <v>76337745</v>
      </c>
      <c r="F1184" s="7" t="s">
        <v>3251</v>
      </c>
      <c r="G1184" s="7" t="s">
        <v>3252</v>
      </c>
      <c r="H1184" s="7" t="s">
        <v>3253</v>
      </c>
      <c r="I1184" s="9">
        <v>45302</v>
      </c>
    </row>
    <row r="1185" spans="1:9" x14ac:dyDescent="0.15">
      <c r="A1185" s="6">
        <v>1184</v>
      </c>
      <c r="B1185" s="7" t="s">
        <v>9</v>
      </c>
      <c r="C1185" s="8">
        <v>1883</v>
      </c>
      <c r="D1185" s="9">
        <v>45395</v>
      </c>
      <c r="E1185" s="13" t="str">
        <f>+HYPERLINK("http://trademark.i-assist.jp/data/china/image_1883th/76337805.pdf","76337805")</f>
        <v>76337805</v>
      </c>
      <c r="F1185" s="7" t="s">
        <v>3254</v>
      </c>
      <c r="G1185" s="7" t="s">
        <v>3255</v>
      </c>
      <c r="H1185" s="7" t="s">
        <v>3256</v>
      </c>
      <c r="I1185" s="9">
        <v>45302</v>
      </c>
    </row>
    <row r="1186" spans="1:9" x14ac:dyDescent="0.15">
      <c r="A1186" s="6">
        <v>1185</v>
      </c>
      <c r="B1186" s="7" t="s">
        <v>9</v>
      </c>
      <c r="C1186" s="8">
        <v>1883</v>
      </c>
      <c r="D1186" s="9">
        <v>45395</v>
      </c>
      <c r="E1186" s="13" t="str">
        <f>+HYPERLINK("http://trademark.i-assist.jp/data/china/image_1883th/76338006.pdf","76338006")</f>
        <v>76338006</v>
      </c>
      <c r="F1186" s="7" t="s">
        <v>57</v>
      </c>
      <c r="G1186" s="7" t="s">
        <v>3257</v>
      </c>
      <c r="H1186" s="7" t="s">
        <v>3258</v>
      </c>
      <c r="I1186" s="9">
        <v>45302</v>
      </c>
    </row>
    <row r="1187" spans="1:9" x14ac:dyDescent="0.15">
      <c r="A1187" s="6">
        <v>1186</v>
      </c>
      <c r="B1187" s="7" t="s">
        <v>9</v>
      </c>
      <c r="C1187" s="8">
        <v>1883</v>
      </c>
      <c r="D1187" s="9">
        <v>45395</v>
      </c>
      <c r="E1187" s="13" t="str">
        <f>+HYPERLINK("http://trademark.i-assist.jp/data/china/image_1883th/76338030.pdf","76338030")</f>
        <v>76338030</v>
      </c>
      <c r="F1187" s="7" t="s">
        <v>3259</v>
      </c>
      <c r="G1187" s="7" t="s">
        <v>3260</v>
      </c>
      <c r="H1187" s="7" t="s">
        <v>3261</v>
      </c>
      <c r="I1187" s="9">
        <v>45302</v>
      </c>
    </row>
    <row r="1188" spans="1:9" x14ac:dyDescent="0.15">
      <c r="A1188" s="6">
        <v>1187</v>
      </c>
      <c r="B1188" s="7" t="s">
        <v>9</v>
      </c>
      <c r="C1188" s="8">
        <v>1883</v>
      </c>
      <c r="D1188" s="9">
        <v>45395</v>
      </c>
      <c r="E1188" s="13" t="str">
        <f>+HYPERLINK("http://trademark.i-assist.jp/data/china/image_1883th/76338035.pdf","76338035")</f>
        <v>76338035</v>
      </c>
      <c r="F1188" s="7" t="s">
        <v>3262</v>
      </c>
      <c r="G1188" s="7" t="s">
        <v>2767</v>
      </c>
      <c r="H1188" s="7" t="s">
        <v>3263</v>
      </c>
      <c r="I1188" s="9">
        <v>45302</v>
      </c>
    </row>
    <row r="1189" spans="1:9" x14ac:dyDescent="0.15">
      <c r="A1189" s="6">
        <v>1188</v>
      </c>
      <c r="B1189" s="7" t="s">
        <v>9</v>
      </c>
      <c r="C1189" s="8">
        <v>1883</v>
      </c>
      <c r="D1189" s="9">
        <v>45395</v>
      </c>
      <c r="E1189" s="13" t="str">
        <f>+HYPERLINK("http://trademark.i-assist.jp/data/china/image_1883th/76338156.pdf","76338156")</f>
        <v>76338156</v>
      </c>
      <c r="F1189" s="7" t="s">
        <v>3264</v>
      </c>
      <c r="G1189" s="7" t="s">
        <v>3111</v>
      </c>
      <c r="H1189" s="7" t="s">
        <v>3265</v>
      </c>
      <c r="I1189" s="9">
        <v>45302</v>
      </c>
    </row>
    <row r="1190" spans="1:9" x14ac:dyDescent="0.15">
      <c r="A1190" s="6">
        <v>1189</v>
      </c>
      <c r="B1190" s="7" t="s">
        <v>9</v>
      </c>
      <c r="C1190" s="8">
        <v>1883</v>
      </c>
      <c r="D1190" s="9">
        <v>45395</v>
      </c>
      <c r="E1190" s="13" t="str">
        <f>+HYPERLINK("http://trademark.i-assist.jp/data/china/image_1883th/76338487.pdf","76338487")</f>
        <v>76338487</v>
      </c>
      <c r="F1190" s="7" t="s">
        <v>3266</v>
      </c>
      <c r="G1190" s="7" t="s">
        <v>3155</v>
      </c>
      <c r="H1190" s="7" t="s">
        <v>3267</v>
      </c>
      <c r="I1190" s="9">
        <v>45302</v>
      </c>
    </row>
    <row r="1191" spans="1:9" x14ac:dyDescent="0.15">
      <c r="A1191" s="6">
        <v>1190</v>
      </c>
      <c r="B1191" s="7" t="s">
        <v>9</v>
      </c>
      <c r="C1191" s="8">
        <v>1883</v>
      </c>
      <c r="D1191" s="9">
        <v>45395</v>
      </c>
      <c r="E1191" s="13" t="str">
        <f>+HYPERLINK("http://trademark.i-assist.jp/data/china/image_1883th/76338693.pdf","76338693")</f>
        <v>76338693</v>
      </c>
      <c r="F1191" s="7" t="s">
        <v>3268</v>
      </c>
      <c r="G1191" s="7" t="s">
        <v>3269</v>
      </c>
      <c r="H1191" s="7" t="s">
        <v>3270</v>
      </c>
      <c r="I1191" s="9">
        <v>45302</v>
      </c>
    </row>
    <row r="1192" spans="1:9" x14ac:dyDescent="0.15">
      <c r="A1192" s="6">
        <v>1191</v>
      </c>
      <c r="B1192" s="7" t="s">
        <v>9</v>
      </c>
      <c r="C1192" s="8">
        <v>1883</v>
      </c>
      <c r="D1192" s="9">
        <v>45395</v>
      </c>
      <c r="E1192" s="13" t="str">
        <f>+HYPERLINK("http://trademark.i-assist.jp/data/china/image_1883th/76338867.pdf","76338867")</f>
        <v>76338867</v>
      </c>
      <c r="F1192" s="7" t="s">
        <v>3271</v>
      </c>
      <c r="G1192" s="7" t="s">
        <v>3193</v>
      </c>
      <c r="H1192" s="7" t="s">
        <v>3272</v>
      </c>
      <c r="I1192" s="9">
        <v>45302</v>
      </c>
    </row>
    <row r="1193" spans="1:9" x14ac:dyDescent="0.15">
      <c r="A1193" s="6">
        <v>1192</v>
      </c>
      <c r="B1193" s="7" t="s">
        <v>9</v>
      </c>
      <c r="C1193" s="8">
        <v>1883</v>
      </c>
      <c r="D1193" s="9">
        <v>45395</v>
      </c>
      <c r="E1193" s="13" t="str">
        <f>+HYPERLINK("http://trademark.i-assist.jp/data/china/image_1883th/76338883.pdf","76338883")</f>
        <v>76338883</v>
      </c>
      <c r="F1193" s="7" t="s">
        <v>3273</v>
      </c>
      <c r="G1193" s="7" t="s">
        <v>3274</v>
      </c>
      <c r="H1193" s="7" t="s">
        <v>3275</v>
      </c>
      <c r="I1193" s="9">
        <v>45302</v>
      </c>
    </row>
    <row r="1194" spans="1:9" x14ac:dyDescent="0.15">
      <c r="A1194" s="6">
        <v>1193</v>
      </c>
      <c r="B1194" s="7" t="s">
        <v>9</v>
      </c>
      <c r="C1194" s="8">
        <v>1883</v>
      </c>
      <c r="D1194" s="9">
        <v>45395</v>
      </c>
      <c r="E1194" s="13" t="str">
        <f>+HYPERLINK("http://trademark.i-assist.jp/data/china/image_1883th/76339054.pdf","76339054")</f>
        <v>76339054</v>
      </c>
      <c r="F1194" s="7" t="s">
        <v>3276</v>
      </c>
      <c r="G1194" s="7" t="s">
        <v>3277</v>
      </c>
      <c r="H1194" s="7" t="s">
        <v>3278</v>
      </c>
      <c r="I1194" s="9">
        <v>45302</v>
      </c>
    </row>
    <row r="1195" spans="1:9" x14ac:dyDescent="0.15">
      <c r="A1195" s="6">
        <v>1194</v>
      </c>
      <c r="B1195" s="7" t="s">
        <v>9</v>
      </c>
      <c r="C1195" s="8">
        <v>1883</v>
      </c>
      <c r="D1195" s="9">
        <v>45395</v>
      </c>
      <c r="E1195" s="13" t="str">
        <f>+HYPERLINK("http://trademark.i-assist.jp/data/china/image_1883th/76339152.pdf","76339152")</f>
        <v>76339152</v>
      </c>
      <c r="F1195" s="7" t="s">
        <v>3279</v>
      </c>
      <c r="G1195" s="7" t="s">
        <v>3280</v>
      </c>
      <c r="H1195" s="7" t="s">
        <v>3281</v>
      </c>
      <c r="I1195" s="9">
        <v>45302</v>
      </c>
    </row>
    <row r="1196" spans="1:9" ht="27" x14ac:dyDescent="0.15">
      <c r="A1196" s="6">
        <v>1195</v>
      </c>
      <c r="B1196" s="7" t="s">
        <v>9</v>
      </c>
      <c r="C1196" s="8">
        <v>1883</v>
      </c>
      <c r="D1196" s="9">
        <v>45395</v>
      </c>
      <c r="E1196" s="13" t="str">
        <f>+HYPERLINK("http://trademark.i-assist.jp/data/china/image_1883th/76339520.pdf","76339520")</f>
        <v>76339520</v>
      </c>
      <c r="F1196" s="7" t="s">
        <v>3282</v>
      </c>
      <c r="G1196" s="7" t="s">
        <v>3283</v>
      </c>
      <c r="H1196" s="7" t="s">
        <v>3284</v>
      </c>
      <c r="I1196" s="9">
        <v>45302</v>
      </c>
    </row>
    <row r="1197" spans="1:9" x14ac:dyDescent="0.15">
      <c r="A1197" s="6">
        <v>1196</v>
      </c>
      <c r="B1197" s="7" t="s">
        <v>9</v>
      </c>
      <c r="C1197" s="8">
        <v>1883</v>
      </c>
      <c r="D1197" s="9">
        <v>45395</v>
      </c>
      <c r="E1197" s="13" t="str">
        <f>+HYPERLINK("http://trademark.i-assist.jp/data/china/image_1883th/76339566.pdf","76339566")</f>
        <v>76339566</v>
      </c>
      <c r="F1197" s="7" t="s">
        <v>3285</v>
      </c>
      <c r="G1197" s="7" t="s">
        <v>3286</v>
      </c>
      <c r="H1197" s="7" t="s">
        <v>3287</v>
      </c>
      <c r="I1197" s="9">
        <v>45302</v>
      </c>
    </row>
    <row r="1198" spans="1:9" x14ac:dyDescent="0.15">
      <c r="A1198" s="6">
        <v>1197</v>
      </c>
      <c r="B1198" s="7" t="s">
        <v>9</v>
      </c>
      <c r="C1198" s="8">
        <v>1883</v>
      </c>
      <c r="D1198" s="9">
        <v>45395</v>
      </c>
      <c r="E1198" s="13" t="str">
        <f>+HYPERLINK("http://trademark.i-assist.jp/data/china/image_1883th/76339587.pdf","76339587")</f>
        <v>76339587</v>
      </c>
      <c r="F1198" s="7" t="s">
        <v>3288</v>
      </c>
      <c r="G1198" s="7" t="s">
        <v>3289</v>
      </c>
      <c r="H1198" s="7" t="s">
        <v>3290</v>
      </c>
      <c r="I1198" s="9">
        <v>45302</v>
      </c>
    </row>
    <row r="1199" spans="1:9" ht="27" x14ac:dyDescent="0.15">
      <c r="A1199" s="6">
        <v>1198</v>
      </c>
      <c r="B1199" s="7" t="s">
        <v>9</v>
      </c>
      <c r="C1199" s="8">
        <v>1883</v>
      </c>
      <c r="D1199" s="9">
        <v>45395</v>
      </c>
      <c r="E1199" s="13" t="str">
        <f>+HYPERLINK("http://trademark.i-assist.jp/data/china/image_1883th/76339688.pdf","76339688")</f>
        <v>76339688</v>
      </c>
      <c r="F1199" s="7" t="s">
        <v>3291</v>
      </c>
      <c r="G1199" s="7" t="s">
        <v>3292</v>
      </c>
      <c r="H1199" s="7" t="s">
        <v>3293</v>
      </c>
      <c r="I1199" s="9">
        <v>45302</v>
      </c>
    </row>
    <row r="1200" spans="1:9" x14ac:dyDescent="0.15">
      <c r="A1200" s="6">
        <v>1199</v>
      </c>
      <c r="B1200" s="7" t="s">
        <v>9</v>
      </c>
      <c r="C1200" s="8">
        <v>1883</v>
      </c>
      <c r="D1200" s="9">
        <v>45395</v>
      </c>
      <c r="E1200" s="13" t="str">
        <f>+HYPERLINK("http://trademark.i-assist.jp/data/china/image_1883th/76339839.pdf","76339839")</f>
        <v>76339839</v>
      </c>
      <c r="F1200" s="7" t="s">
        <v>3294</v>
      </c>
      <c r="G1200" s="7" t="s">
        <v>3295</v>
      </c>
      <c r="H1200" s="7" t="s">
        <v>3296</v>
      </c>
      <c r="I1200" s="9">
        <v>45302</v>
      </c>
    </row>
    <row r="1201" spans="1:9" x14ac:dyDescent="0.15">
      <c r="A1201" s="6">
        <v>1200</v>
      </c>
      <c r="B1201" s="7" t="s">
        <v>9</v>
      </c>
      <c r="C1201" s="8">
        <v>1883</v>
      </c>
      <c r="D1201" s="9">
        <v>45395</v>
      </c>
      <c r="E1201" s="13" t="str">
        <f>+HYPERLINK("http://trademark.i-assist.jp/data/china/image_1883th/76339842.pdf","76339842")</f>
        <v>76339842</v>
      </c>
      <c r="F1201" s="7" t="s">
        <v>3297</v>
      </c>
      <c r="G1201" s="7" t="s">
        <v>3298</v>
      </c>
      <c r="H1201" s="7" t="s">
        <v>3299</v>
      </c>
      <c r="I1201" s="9">
        <v>45302</v>
      </c>
    </row>
    <row r="1202" spans="1:9" ht="27" x14ac:dyDescent="0.15">
      <c r="A1202" s="6">
        <v>1201</v>
      </c>
      <c r="B1202" s="7" t="s">
        <v>9</v>
      </c>
      <c r="C1202" s="8">
        <v>1883</v>
      </c>
      <c r="D1202" s="9">
        <v>45395</v>
      </c>
      <c r="E1202" s="13" t="str">
        <f>+HYPERLINK("http://trademark.i-assist.jp/data/china/image_1883th/76339888.pdf","76339888")</f>
        <v>76339888</v>
      </c>
      <c r="F1202" s="7" t="s">
        <v>3300</v>
      </c>
      <c r="G1202" s="7" t="s">
        <v>3301</v>
      </c>
      <c r="H1202" s="7" t="s">
        <v>3302</v>
      </c>
      <c r="I1202" s="9">
        <v>45302</v>
      </c>
    </row>
    <row r="1203" spans="1:9" ht="27" x14ac:dyDescent="0.15">
      <c r="A1203" s="6">
        <v>1202</v>
      </c>
      <c r="B1203" s="7" t="s">
        <v>9</v>
      </c>
      <c r="C1203" s="8">
        <v>1883</v>
      </c>
      <c r="D1203" s="9">
        <v>45395</v>
      </c>
      <c r="E1203" s="13" t="str">
        <f>+HYPERLINK("http://trademark.i-assist.jp/data/china/image_1883th/76339932.pdf","76339932")</f>
        <v>76339932</v>
      </c>
      <c r="F1203" s="7" t="s">
        <v>3303</v>
      </c>
      <c r="G1203" s="7" t="s">
        <v>3304</v>
      </c>
      <c r="H1203" s="7" t="s">
        <v>3305</v>
      </c>
      <c r="I1203" s="9">
        <v>45302</v>
      </c>
    </row>
    <row r="1204" spans="1:9" x14ac:dyDescent="0.15">
      <c r="A1204" s="6">
        <v>1203</v>
      </c>
      <c r="B1204" s="7" t="s">
        <v>9</v>
      </c>
      <c r="C1204" s="8">
        <v>1883</v>
      </c>
      <c r="D1204" s="9">
        <v>45395</v>
      </c>
      <c r="E1204" s="13" t="str">
        <f>+HYPERLINK("http://trademark.i-assist.jp/data/china/image_1883th/76339979.pdf","76339979")</f>
        <v>76339979</v>
      </c>
      <c r="F1204" s="7" t="s">
        <v>3306</v>
      </c>
      <c r="G1204" s="7" t="s">
        <v>3307</v>
      </c>
      <c r="H1204" s="7" t="s">
        <v>3308</v>
      </c>
      <c r="I1204" s="9">
        <v>45302</v>
      </c>
    </row>
    <row r="1205" spans="1:9" x14ac:dyDescent="0.15">
      <c r="A1205" s="6">
        <v>1204</v>
      </c>
      <c r="B1205" s="7" t="s">
        <v>9</v>
      </c>
      <c r="C1205" s="8">
        <v>1883</v>
      </c>
      <c r="D1205" s="9">
        <v>45395</v>
      </c>
      <c r="E1205" s="13" t="str">
        <f>+HYPERLINK("http://trademark.i-assist.jp/data/china/image_1883th/76340183.pdf","76340183")</f>
        <v>76340183</v>
      </c>
      <c r="F1205" s="7" t="s">
        <v>3309</v>
      </c>
      <c r="G1205" s="7" t="s">
        <v>3310</v>
      </c>
      <c r="H1205" s="7" t="s">
        <v>3311</v>
      </c>
      <c r="I1205" s="9">
        <v>45302</v>
      </c>
    </row>
    <row r="1206" spans="1:9" ht="27" x14ac:dyDescent="0.15">
      <c r="A1206" s="6">
        <v>1205</v>
      </c>
      <c r="B1206" s="7" t="s">
        <v>9</v>
      </c>
      <c r="C1206" s="8">
        <v>1883</v>
      </c>
      <c r="D1206" s="9">
        <v>45395</v>
      </c>
      <c r="E1206" s="13" t="str">
        <f>+HYPERLINK("http://trademark.i-assist.jp/data/china/image_1883th/76340239.pdf","76340239")</f>
        <v>76340239</v>
      </c>
      <c r="F1206" s="7" t="s">
        <v>3312</v>
      </c>
      <c r="G1206" s="7" t="s">
        <v>3313</v>
      </c>
      <c r="H1206" s="7" t="s">
        <v>3314</v>
      </c>
      <c r="I1206" s="9">
        <v>45302</v>
      </c>
    </row>
    <row r="1207" spans="1:9" x14ac:dyDescent="0.15">
      <c r="A1207" s="6">
        <v>1206</v>
      </c>
      <c r="B1207" s="7" t="s">
        <v>9</v>
      </c>
      <c r="C1207" s="8">
        <v>1883</v>
      </c>
      <c r="D1207" s="9">
        <v>45395</v>
      </c>
      <c r="E1207" s="13" t="str">
        <f>+HYPERLINK("http://trademark.i-assist.jp/data/china/image_1883th/76340832.pdf","76340832")</f>
        <v>76340832</v>
      </c>
      <c r="F1207" s="7" t="s">
        <v>3315</v>
      </c>
      <c r="G1207" s="7" t="s">
        <v>3316</v>
      </c>
      <c r="H1207" s="7" t="s">
        <v>3317</v>
      </c>
      <c r="I1207" s="9">
        <v>45302</v>
      </c>
    </row>
    <row r="1208" spans="1:9" x14ac:dyDescent="0.15">
      <c r="A1208" s="6">
        <v>1207</v>
      </c>
      <c r="B1208" s="7" t="s">
        <v>9</v>
      </c>
      <c r="C1208" s="8">
        <v>1883</v>
      </c>
      <c r="D1208" s="9">
        <v>45395</v>
      </c>
      <c r="E1208" s="13" t="str">
        <f>+HYPERLINK("http://trademark.i-assist.jp/data/china/image_1883th/76340965.pdf","76340965")</f>
        <v>76340965</v>
      </c>
      <c r="F1208" s="7" t="s">
        <v>3318</v>
      </c>
      <c r="G1208" s="7" t="s">
        <v>3319</v>
      </c>
      <c r="H1208" s="7" t="s">
        <v>3320</v>
      </c>
      <c r="I1208" s="9">
        <v>45302</v>
      </c>
    </row>
    <row r="1209" spans="1:9" x14ac:dyDescent="0.15">
      <c r="A1209" s="6">
        <v>1208</v>
      </c>
      <c r="B1209" s="7" t="s">
        <v>9</v>
      </c>
      <c r="C1209" s="8">
        <v>1883</v>
      </c>
      <c r="D1209" s="9">
        <v>45395</v>
      </c>
      <c r="E1209" s="13" t="str">
        <f>+HYPERLINK("http://trademark.i-assist.jp/data/china/image_1883th/76341009.pdf","76341009")</f>
        <v>76341009</v>
      </c>
      <c r="F1209" s="7" t="s">
        <v>3321</v>
      </c>
      <c r="G1209" s="7" t="s">
        <v>3322</v>
      </c>
      <c r="H1209" s="7" t="s">
        <v>3323</v>
      </c>
      <c r="I1209" s="9">
        <v>45302</v>
      </c>
    </row>
    <row r="1210" spans="1:9" x14ac:dyDescent="0.15">
      <c r="A1210" s="6">
        <v>1209</v>
      </c>
      <c r="B1210" s="7" t="s">
        <v>9</v>
      </c>
      <c r="C1210" s="8">
        <v>1883</v>
      </c>
      <c r="D1210" s="9">
        <v>45395</v>
      </c>
      <c r="E1210" s="13" t="str">
        <f>+HYPERLINK("http://trademark.i-assist.jp/data/china/image_1883th/76341207.pdf","76341207")</f>
        <v>76341207</v>
      </c>
      <c r="F1210" s="7" t="s">
        <v>3324</v>
      </c>
      <c r="G1210" s="7" t="s">
        <v>3325</v>
      </c>
      <c r="H1210" s="7" t="s">
        <v>3326</v>
      </c>
      <c r="I1210" s="9">
        <v>45302</v>
      </c>
    </row>
    <row r="1211" spans="1:9" x14ac:dyDescent="0.15">
      <c r="A1211" s="6">
        <v>1210</v>
      </c>
      <c r="B1211" s="7" t="s">
        <v>9</v>
      </c>
      <c r="C1211" s="8">
        <v>1883</v>
      </c>
      <c r="D1211" s="9">
        <v>45395</v>
      </c>
      <c r="E1211" s="13" t="str">
        <f>+HYPERLINK("http://trademark.i-assist.jp/data/china/image_1883th/76341226.pdf","76341226")</f>
        <v>76341226</v>
      </c>
      <c r="F1211" s="7" t="s">
        <v>3327</v>
      </c>
      <c r="G1211" s="7" t="s">
        <v>3328</v>
      </c>
      <c r="H1211" s="7" t="s">
        <v>3329</v>
      </c>
      <c r="I1211" s="9">
        <v>45302</v>
      </c>
    </row>
    <row r="1212" spans="1:9" x14ac:dyDescent="0.15">
      <c r="A1212" s="6">
        <v>1211</v>
      </c>
      <c r="B1212" s="7" t="s">
        <v>9</v>
      </c>
      <c r="C1212" s="8">
        <v>1883</v>
      </c>
      <c r="D1212" s="9">
        <v>45395</v>
      </c>
      <c r="E1212" s="13" t="str">
        <f>+HYPERLINK("http://trademark.i-assist.jp/data/china/image_1883th/76341227.pdf","76341227")</f>
        <v>76341227</v>
      </c>
      <c r="F1212" s="7" t="s">
        <v>3330</v>
      </c>
      <c r="G1212" s="7" t="s">
        <v>3331</v>
      </c>
      <c r="H1212" s="7" t="s">
        <v>3332</v>
      </c>
      <c r="I1212" s="9">
        <v>45302</v>
      </c>
    </row>
    <row r="1213" spans="1:9" x14ac:dyDescent="0.15">
      <c r="A1213" s="6">
        <v>1212</v>
      </c>
      <c r="B1213" s="7" t="s">
        <v>9</v>
      </c>
      <c r="C1213" s="8">
        <v>1883</v>
      </c>
      <c r="D1213" s="9">
        <v>45395</v>
      </c>
      <c r="E1213" s="13" t="str">
        <f>+HYPERLINK("http://trademark.i-assist.jp/data/china/image_1883th/76341228.pdf","76341228")</f>
        <v>76341228</v>
      </c>
      <c r="F1213" s="7" t="s">
        <v>3333</v>
      </c>
      <c r="G1213" s="7" t="s">
        <v>3334</v>
      </c>
      <c r="H1213" s="7" t="s">
        <v>3335</v>
      </c>
      <c r="I1213" s="9">
        <v>45302</v>
      </c>
    </row>
    <row r="1214" spans="1:9" x14ac:dyDescent="0.15">
      <c r="A1214" s="6">
        <v>1213</v>
      </c>
      <c r="B1214" s="7" t="s">
        <v>9</v>
      </c>
      <c r="C1214" s="8">
        <v>1883</v>
      </c>
      <c r="D1214" s="9">
        <v>45395</v>
      </c>
      <c r="E1214" s="13" t="str">
        <f>+HYPERLINK("http://trademark.i-assist.jp/data/china/image_1883th/76341314.pdf","76341314")</f>
        <v>76341314</v>
      </c>
      <c r="F1214" s="7" t="s">
        <v>3336</v>
      </c>
      <c r="G1214" s="7" t="s">
        <v>3252</v>
      </c>
      <c r="H1214" s="7" t="s">
        <v>3337</v>
      </c>
      <c r="I1214" s="9">
        <v>45302</v>
      </c>
    </row>
    <row r="1215" spans="1:9" x14ac:dyDescent="0.15">
      <c r="A1215" s="6">
        <v>1214</v>
      </c>
      <c r="B1215" s="7" t="s">
        <v>9</v>
      </c>
      <c r="C1215" s="8">
        <v>1883</v>
      </c>
      <c r="D1215" s="9">
        <v>45395</v>
      </c>
      <c r="E1215" s="13" t="str">
        <f>+HYPERLINK("http://trademark.i-assist.jp/data/china/image_1883th/76341366.pdf","76341366")</f>
        <v>76341366</v>
      </c>
      <c r="F1215" s="7" t="s">
        <v>3338</v>
      </c>
      <c r="G1215" s="7" t="s">
        <v>3339</v>
      </c>
      <c r="H1215" s="7" t="s">
        <v>3340</v>
      </c>
      <c r="I1215" s="9">
        <v>45302</v>
      </c>
    </row>
    <row r="1216" spans="1:9" x14ac:dyDescent="0.15">
      <c r="A1216" s="6">
        <v>1215</v>
      </c>
      <c r="B1216" s="7" t="s">
        <v>9</v>
      </c>
      <c r="C1216" s="8">
        <v>1883</v>
      </c>
      <c r="D1216" s="9">
        <v>45395</v>
      </c>
      <c r="E1216" s="13" t="str">
        <f>+HYPERLINK("http://trademark.i-assist.jp/data/china/image_1883th/76341525.pdf","76341525")</f>
        <v>76341525</v>
      </c>
      <c r="F1216" s="7" t="s">
        <v>3341</v>
      </c>
      <c r="G1216" s="7" t="s">
        <v>3342</v>
      </c>
      <c r="H1216" s="7" t="s">
        <v>3343</v>
      </c>
      <c r="I1216" s="9">
        <v>45302</v>
      </c>
    </row>
    <row r="1217" spans="1:9" x14ac:dyDescent="0.15">
      <c r="A1217" s="6">
        <v>1216</v>
      </c>
      <c r="B1217" s="7" t="s">
        <v>9</v>
      </c>
      <c r="C1217" s="8">
        <v>1883</v>
      </c>
      <c r="D1217" s="9">
        <v>45395</v>
      </c>
      <c r="E1217" s="13" t="str">
        <f>+HYPERLINK("http://trademark.i-assist.jp/data/china/image_1883th/76341684.pdf","76341684")</f>
        <v>76341684</v>
      </c>
      <c r="F1217" s="7" t="s">
        <v>3344</v>
      </c>
      <c r="G1217" s="7" t="s">
        <v>3345</v>
      </c>
      <c r="H1217" s="7" t="s">
        <v>3346</v>
      </c>
      <c r="I1217" s="9">
        <v>45302</v>
      </c>
    </row>
    <row r="1218" spans="1:9" x14ac:dyDescent="0.15">
      <c r="A1218" s="6">
        <v>1217</v>
      </c>
      <c r="B1218" s="7" t="s">
        <v>9</v>
      </c>
      <c r="C1218" s="8">
        <v>1883</v>
      </c>
      <c r="D1218" s="9">
        <v>45395</v>
      </c>
      <c r="E1218" s="13" t="str">
        <f>+HYPERLINK("http://trademark.i-assist.jp/data/china/image_1883th/76341689.pdf","76341689")</f>
        <v>76341689</v>
      </c>
      <c r="F1218" s="7" t="s">
        <v>3347</v>
      </c>
      <c r="G1218" s="7" t="s">
        <v>3348</v>
      </c>
      <c r="H1218" s="7" t="s">
        <v>3349</v>
      </c>
      <c r="I1218" s="9">
        <v>45302</v>
      </c>
    </row>
    <row r="1219" spans="1:9" x14ac:dyDescent="0.15">
      <c r="A1219" s="6">
        <v>1218</v>
      </c>
      <c r="B1219" s="7" t="s">
        <v>9</v>
      </c>
      <c r="C1219" s="8">
        <v>1883</v>
      </c>
      <c r="D1219" s="9">
        <v>45395</v>
      </c>
      <c r="E1219" s="13" t="str">
        <f>+HYPERLINK("http://trademark.i-assist.jp/data/china/image_1883th/76341870.pdf","76341870")</f>
        <v>76341870</v>
      </c>
      <c r="F1219" s="7" t="s">
        <v>3180</v>
      </c>
      <c r="G1219" s="7" t="s">
        <v>3181</v>
      </c>
      <c r="H1219" s="7" t="s">
        <v>3350</v>
      </c>
      <c r="I1219" s="9">
        <v>45302</v>
      </c>
    </row>
    <row r="1220" spans="1:9" ht="27" x14ac:dyDescent="0.15">
      <c r="A1220" s="6">
        <v>1219</v>
      </c>
      <c r="B1220" s="7" t="s">
        <v>9</v>
      </c>
      <c r="C1220" s="8">
        <v>1883</v>
      </c>
      <c r="D1220" s="9">
        <v>45395</v>
      </c>
      <c r="E1220" s="13" t="str">
        <f>+HYPERLINK("http://trademark.i-assist.jp/data/china/image_1883th/76342052.pdf","76342052")</f>
        <v>76342052</v>
      </c>
      <c r="F1220" s="7" t="s">
        <v>3351</v>
      </c>
      <c r="G1220" s="7" t="s">
        <v>3352</v>
      </c>
      <c r="H1220" s="7" t="s">
        <v>3353</v>
      </c>
      <c r="I1220" s="9">
        <v>45302</v>
      </c>
    </row>
    <row r="1221" spans="1:9" x14ac:dyDescent="0.15">
      <c r="A1221" s="6">
        <v>1220</v>
      </c>
      <c r="B1221" s="7" t="s">
        <v>9</v>
      </c>
      <c r="C1221" s="8">
        <v>1883</v>
      </c>
      <c r="D1221" s="9">
        <v>45395</v>
      </c>
      <c r="E1221" s="13" t="str">
        <f>+HYPERLINK("http://trademark.i-assist.jp/data/china/image_1883th/76342422.pdf","76342422")</f>
        <v>76342422</v>
      </c>
      <c r="F1221" s="7" t="s">
        <v>3354</v>
      </c>
      <c r="G1221" s="7" t="s">
        <v>3355</v>
      </c>
      <c r="H1221" s="7" t="s">
        <v>3356</v>
      </c>
      <c r="I1221" s="9">
        <v>45302</v>
      </c>
    </row>
    <row r="1222" spans="1:9" x14ac:dyDescent="0.15">
      <c r="A1222" s="6">
        <v>1221</v>
      </c>
      <c r="B1222" s="7" t="s">
        <v>9</v>
      </c>
      <c r="C1222" s="8">
        <v>1883</v>
      </c>
      <c r="D1222" s="9">
        <v>45395</v>
      </c>
      <c r="E1222" s="13" t="str">
        <f>+HYPERLINK("http://trademark.i-assist.jp/data/china/image_1883th/76342534.pdf","76342534")</f>
        <v>76342534</v>
      </c>
      <c r="F1222" s="7" t="s">
        <v>3357</v>
      </c>
      <c r="G1222" s="7" t="s">
        <v>3358</v>
      </c>
      <c r="H1222" s="7" t="s">
        <v>3359</v>
      </c>
      <c r="I1222" s="9">
        <v>45302</v>
      </c>
    </row>
    <row r="1223" spans="1:9" x14ac:dyDescent="0.15">
      <c r="A1223" s="6">
        <v>1222</v>
      </c>
      <c r="B1223" s="7" t="s">
        <v>9</v>
      </c>
      <c r="C1223" s="8">
        <v>1883</v>
      </c>
      <c r="D1223" s="9">
        <v>45395</v>
      </c>
      <c r="E1223" s="13" t="str">
        <f>+HYPERLINK("http://trademark.i-assist.jp/data/china/image_1883th/76342627.pdf","76342627")</f>
        <v>76342627</v>
      </c>
      <c r="F1223" s="7" t="s">
        <v>3360</v>
      </c>
      <c r="G1223" s="7" t="s">
        <v>3361</v>
      </c>
      <c r="H1223" s="7" t="s">
        <v>3362</v>
      </c>
      <c r="I1223" s="9">
        <v>45302</v>
      </c>
    </row>
    <row r="1224" spans="1:9" ht="27" x14ac:dyDescent="0.15">
      <c r="A1224" s="6">
        <v>1223</v>
      </c>
      <c r="B1224" s="7" t="s">
        <v>9</v>
      </c>
      <c r="C1224" s="8">
        <v>1883</v>
      </c>
      <c r="D1224" s="9">
        <v>45395</v>
      </c>
      <c r="E1224" s="13" t="str">
        <f>+HYPERLINK("http://trademark.i-assist.jp/data/china/image_1883th/76342696.pdf","76342696")</f>
        <v>76342696</v>
      </c>
      <c r="F1224" s="7" t="s">
        <v>3363</v>
      </c>
      <c r="G1224" s="7" t="s">
        <v>3364</v>
      </c>
      <c r="H1224" s="7" t="s">
        <v>3365</v>
      </c>
      <c r="I1224" s="9">
        <v>45302</v>
      </c>
    </row>
    <row r="1225" spans="1:9" ht="27" x14ac:dyDescent="0.15">
      <c r="A1225" s="6">
        <v>1224</v>
      </c>
      <c r="B1225" s="7" t="s">
        <v>9</v>
      </c>
      <c r="C1225" s="8">
        <v>1883</v>
      </c>
      <c r="D1225" s="9">
        <v>45395</v>
      </c>
      <c r="E1225" s="13" t="str">
        <f>+HYPERLINK("http://trademark.i-assist.jp/data/china/image_1883th/76342701.pdf","76342701")</f>
        <v>76342701</v>
      </c>
      <c r="F1225" s="7" t="s">
        <v>3366</v>
      </c>
      <c r="G1225" s="7" t="s">
        <v>3367</v>
      </c>
      <c r="H1225" s="7" t="s">
        <v>3368</v>
      </c>
      <c r="I1225" s="9">
        <v>45302</v>
      </c>
    </row>
    <row r="1226" spans="1:9" x14ac:dyDescent="0.15">
      <c r="A1226" s="6">
        <v>1225</v>
      </c>
      <c r="B1226" s="7" t="s">
        <v>9</v>
      </c>
      <c r="C1226" s="8">
        <v>1883</v>
      </c>
      <c r="D1226" s="9">
        <v>45395</v>
      </c>
      <c r="E1226" s="13" t="str">
        <f>+HYPERLINK("http://trademark.i-assist.jp/data/china/image_1883th/76342728.pdf","76342728")</f>
        <v>76342728</v>
      </c>
      <c r="F1226" s="7" t="s">
        <v>3369</v>
      </c>
      <c r="G1226" s="7" t="s">
        <v>3370</v>
      </c>
      <c r="H1226" s="7" t="s">
        <v>3371</v>
      </c>
      <c r="I1226" s="9">
        <v>45302</v>
      </c>
    </row>
    <row r="1227" spans="1:9" x14ac:dyDescent="0.15">
      <c r="A1227" s="6">
        <v>1226</v>
      </c>
      <c r="B1227" s="7" t="s">
        <v>9</v>
      </c>
      <c r="C1227" s="8">
        <v>1883</v>
      </c>
      <c r="D1227" s="9">
        <v>45395</v>
      </c>
      <c r="E1227" s="13" t="str">
        <f>+HYPERLINK("http://trademark.i-assist.jp/data/china/image_1883th/76342910.pdf","76342910")</f>
        <v>76342910</v>
      </c>
      <c r="F1227" s="7" t="s">
        <v>3372</v>
      </c>
      <c r="G1227" s="7" t="s">
        <v>3373</v>
      </c>
      <c r="H1227" s="7" t="s">
        <v>3374</v>
      </c>
      <c r="I1227" s="9">
        <v>45302</v>
      </c>
    </row>
    <row r="1228" spans="1:9" x14ac:dyDescent="0.15">
      <c r="A1228" s="6">
        <v>1227</v>
      </c>
      <c r="B1228" s="7" t="s">
        <v>9</v>
      </c>
      <c r="C1228" s="8">
        <v>1883</v>
      </c>
      <c r="D1228" s="9">
        <v>45395</v>
      </c>
      <c r="E1228" s="13" t="str">
        <f>+HYPERLINK("http://trademark.i-assist.jp/data/china/image_1883th/76343017.pdf","76343017")</f>
        <v>76343017</v>
      </c>
      <c r="F1228" s="7" t="s">
        <v>3375</v>
      </c>
      <c r="G1228" s="7" t="s">
        <v>3376</v>
      </c>
      <c r="H1228" s="7" t="s">
        <v>3377</v>
      </c>
      <c r="I1228" s="9">
        <v>45302</v>
      </c>
    </row>
    <row r="1229" spans="1:9" x14ac:dyDescent="0.15">
      <c r="A1229" s="6">
        <v>1228</v>
      </c>
      <c r="B1229" s="7" t="s">
        <v>9</v>
      </c>
      <c r="C1229" s="8">
        <v>1883</v>
      </c>
      <c r="D1229" s="9">
        <v>45395</v>
      </c>
      <c r="E1229" s="13" t="str">
        <f>+HYPERLINK("http://trademark.i-assist.jp/data/china/image_1883th/76343164.pdf","76343164")</f>
        <v>76343164</v>
      </c>
      <c r="F1229" s="7" t="s">
        <v>3378</v>
      </c>
      <c r="G1229" s="7" t="s">
        <v>2767</v>
      </c>
      <c r="H1229" s="7" t="s">
        <v>3379</v>
      </c>
      <c r="I1229" s="9">
        <v>45302</v>
      </c>
    </row>
    <row r="1230" spans="1:9" x14ac:dyDescent="0.15">
      <c r="A1230" s="6">
        <v>1229</v>
      </c>
      <c r="B1230" s="7" t="s">
        <v>9</v>
      </c>
      <c r="C1230" s="8">
        <v>1883</v>
      </c>
      <c r="D1230" s="9">
        <v>45395</v>
      </c>
      <c r="E1230" s="13" t="str">
        <f>+HYPERLINK("http://trademark.i-assist.jp/data/china/image_1883th/76343250.pdf","76343250")</f>
        <v>76343250</v>
      </c>
      <c r="F1230" s="7" t="s">
        <v>3380</v>
      </c>
      <c r="G1230" s="7" t="s">
        <v>3381</v>
      </c>
      <c r="H1230" s="7" t="s">
        <v>3382</v>
      </c>
      <c r="I1230" s="9">
        <v>45302</v>
      </c>
    </row>
    <row r="1231" spans="1:9" x14ac:dyDescent="0.15">
      <c r="A1231" s="6">
        <v>1230</v>
      </c>
      <c r="B1231" s="7" t="s">
        <v>9</v>
      </c>
      <c r="C1231" s="8">
        <v>1883</v>
      </c>
      <c r="D1231" s="9">
        <v>45395</v>
      </c>
      <c r="E1231" s="13" t="str">
        <f>+HYPERLINK("http://trademark.i-assist.jp/data/china/image_1883th/76343512.pdf","76343512")</f>
        <v>76343512</v>
      </c>
      <c r="F1231" s="7" t="s">
        <v>3383</v>
      </c>
      <c r="G1231" s="7" t="s">
        <v>3384</v>
      </c>
      <c r="H1231" s="7" t="s">
        <v>3385</v>
      </c>
      <c r="I1231" s="9">
        <v>45302</v>
      </c>
    </row>
    <row r="1232" spans="1:9" x14ac:dyDescent="0.15">
      <c r="A1232" s="6">
        <v>1231</v>
      </c>
      <c r="B1232" s="7" t="s">
        <v>9</v>
      </c>
      <c r="C1232" s="8">
        <v>1883</v>
      </c>
      <c r="D1232" s="9">
        <v>45395</v>
      </c>
      <c r="E1232" s="13" t="str">
        <f>+HYPERLINK("http://trademark.i-assist.jp/data/china/image_1883th/76343626.pdf","76343626")</f>
        <v>76343626</v>
      </c>
      <c r="F1232" s="7" t="s">
        <v>3386</v>
      </c>
      <c r="G1232" s="7" t="s">
        <v>3387</v>
      </c>
      <c r="H1232" s="7" t="s">
        <v>3388</v>
      </c>
      <c r="I1232" s="9">
        <v>45302</v>
      </c>
    </row>
    <row r="1233" spans="1:9" x14ac:dyDescent="0.15">
      <c r="A1233" s="6">
        <v>1232</v>
      </c>
      <c r="B1233" s="7" t="s">
        <v>9</v>
      </c>
      <c r="C1233" s="8">
        <v>1883</v>
      </c>
      <c r="D1233" s="9">
        <v>45395</v>
      </c>
      <c r="E1233" s="13" t="str">
        <f>+HYPERLINK("http://trademark.i-assist.jp/data/china/image_1883th/76343851.pdf","76343851")</f>
        <v>76343851</v>
      </c>
      <c r="F1233" s="7" t="s">
        <v>3389</v>
      </c>
      <c r="G1233" s="7" t="s">
        <v>3390</v>
      </c>
      <c r="H1233" s="7" t="s">
        <v>3391</v>
      </c>
      <c r="I1233" s="9">
        <v>45303</v>
      </c>
    </row>
    <row r="1234" spans="1:9" x14ac:dyDescent="0.15">
      <c r="A1234" s="6">
        <v>1233</v>
      </c>
      <c r="B1234" s="7" t="s">
        <v>9</v>
      </c>
      <c r="C1234" s="8">
        <v>1883</v>
      </c>
      <c r="D1234" s="9">
        <v>45395</v>
      </c>
      <c r="E1234" s="13" t="str">
        <f>+HYPERLINK("http://trademark.i-assist.jp/data/china/image_1883th/76343969.pdf","76343969")</f>
        <v>76343969</v>
      </c>
      <c r="F1234" s="7" t="s">
        <v>3392</v>
      </c>
      <c r="G1234" s="7" t="s">
        <v>3393</v>
      </c>
      <c r="H1234" s="7" t="s">
        <v>3394</v>
      </c>
      <c r="I1234" s="9">
        <v>45303</v>
      </c>
    </row>
    <row r="1235" spans="1:9" ht="27" x14ac:dyDescent="0.15">
      <c r="A1235" s="6">
        <v>1234</v>
      </c>
      <c r="B1235" s="7" t="s">
        <v>9</v>
      </c>
      <c r="C1235" s="8">
        <v>1883</v>
      </c>
      <c r="D1235" s="9">
        <v>45395</v>
      </c>
      <c r="E1235" s="13" t="str">
        <f>+HYPERLINK("http://trademark.i-assist.jp/data/china/image_1883th/76344315.pdf","76344315")</f>
        <v>76344315</v>
      </c>
      <c r="F1235" s="7" t="s">
        <v>3395</v>
      </c>
      <c r="G1235" s="7" t="s">
        <v>3396</v>
      </c>
      <c r="H1235" s="7" t="s">
        <v>3397</v>
      </c>
      <c r="I1235" s="9">
        <v>45303</v>
      </c>
    </row>
    <row r="1236" spans="1:9" x14ac:dyDescent="0.15">
      <c r="A1236" s="6">
        <v>1235</v>
      </c>
      <c r="B1236" s="7" t="s">
        <v>9</v>
      </c>
      <c r="C1236" s="8">
        <v>1883</v>
      </c>
      <c r="D1236" s="9">
        <v>45395</v>
      </c>
      <c r="E1236" s="13" t="str">
        <f>+HYPERLINK("http://trademark.i-assist.jp/data/china/image_1883th/76344408.pdf","76344408")</f>
        <v>76344408</v>
      </c>
      <c r="F1236" s="7" t="s">
        <v>3398</v>
      </c>
      <c r="G1236" s="7" t="s">
        <v>3399</v>
      </c>
      <c r="H1236" s="7" t="s">
        <v>3400</v>
      </c>
      <c r="I1236" s="9">
        <v>45303</v>
      </c>
    </row>
    <row r="1237" spans="1:9" x14ac:dyDescent="0.15">
      <c r="A1237" s="6">
        <v>1236</v>
      </c>
      <c r="B1237" s="7" t="s">
        <v>9</v>
      </c>
      <c r="C1237" s="8">
        <v>1883</v>
      </c>
      <c r="D1237" s="9">
        <v>45395</v>
      </c>
      <c r="E1237" s="13" t="str">
        <f>+HYPERLINK("http://trademark.i-assist.jp/data/china/image_1883th/76344565.pdf","76344565")</f>
        <v>76344565</v>
      </c>
      <c r="F1237" s="7" t="s">
        <v>3401</v>
      </c>
      <c r="G1237" s="7" t="s">
        <v>3402</v>
      </c>
      <c r="H1237" s="7" t="s">
        <v>3403</v>
      </c>
      <c r="I1237" s="9">
        <v>45303</v>
      </c>
    </row>
    <row r="1238" spans="1:9" x14ac:dyDescent="0.15">
      <c r="A1238" s="6">
        <v>1237</v>
      </c>
      <c r="B1238" s="7" t="s">
        <v>9</v>
      </c>
      <c r="C1238" s="8">
        <v>1883</v>
      </c>
      <c r="D1238" s="9">
        <v>45395</v>
      </c>
      <c r="E1238" s="13" t="str">
        <f>+HYPERLINK("http://trademark.i-assist.jp/data/china/image_1883th/76344714.pdf","76344714")</f>
        <v>76344714</v>
      </c>
      <c r="F1238" s="7" t="s">
        <v>3404</v>
      </c>
      <c r="G1238" s="7" t="s">
        <v>3405</v>
      </c>
      <c r="H1238" s="7" t="s">
        <v>3406</v>
      </c>
      <c r="I1238" s="9">
        <v>45303</v>
      </c>
    </row>
    <row r="1239" spans="1:9" x14ac:dyDescent="0.15">
      <c r="A1239" s="6">
        <v>1238</v>
      </c>
      <c r="B1239" s="7" t="s">
        <v>9</v>
      </c>
      <c r="C1239" s="8">
        <v>1883</v>
      </c>
      <c r="D1239" s="9">
        <v>45395</v>
      </c>
      <c r="E1239" s="13" t="str">
        <f>+HYPERLINK("http://trademark.i-assist.jp/data/china/image_1883th/76344825.pdf","76344825")</f>
        <v>76344825</v>
      </c>
      <c r="F1239" s="7" t="s">
        <v>3407</v>
      </c>
      <c r="G1239" s="7" t="s">
        <v>3408</v>
      </c>
      <c r="H1239" s="7" t="s">
        <v>3409</v>
      </c>
      <c r="I1239" s="9">
        <v>45303</v>
      </c>
    </row>
    <row r="1240" spans="1:9" x14ac:dyDescent="0.15">
      <c r="A1240" s="6">
        <v>1239</v>
      </c>
      <c r="B1240" s="7" t="s">
        <v>9</v>
      </c>
      <c r="C1240" s="8">
        <v>1883</v>
      </c>
      <c r="D1240" s="9">
        <v>45395</v>
      </c>
      <c r="E1240" s="13" t="str">
        <f>+HYPERLINK("http://trademark.i-assist.jp/data/china/image_1883th/76344918.pdf","76344918")</f>
        <v>76344918</v>
      </c>
      <c r="F1240" s="7" t="s">
        <v>3410</v>
      </c>
      <c r="G1240" s="7" t="s">
        <v>3348</v>
      </c>
      <c r="H1240" s="7" t="s">
        <v>3411</v>
      </c>
      <c r="I1240" s="9">
        <v>45303</v>
      </c>
    </row>
    <row r="1241" spans="1:9" x14ac:dyDescent="0.15">
      <c r="A1241" s="6">
        <v>1240</v>
      </c>
      <c r="B1241" s="7" t="s">
        <v>9</v>
      </c>
      <c r="C1241" s="8">
        <v>1883</v>
      </c>
      <c r="D1241" s="9">
        <v>45395</v>
      </c>
      <c r="E1241" s="13" t="str">
        <f>+HYPERLINK("http://trademark.i-assist.jp/data/china/image_1883th/76345004.pdf","76345004")</f>
        <v>76345004</v>
      </c>
      <c r="F1241" s="7" t="s">
        <v>3412</v>
      </c>
      <c r="G1241" s="7" t="s">
        <v>3413</v>
      </c>
      <c r="H1241" s="7" t="s">
        <v>3414</v>
      </c>
      <c r="I1241" s="9">
        <v>45303</v>
      </c>
    </row>
    <row r="1242" spans="1:9" x14ac:dyDescent="0.15">
      <c r="A1242" s="6">
        <v>1241</v>
      </c>
      <c r="B1242" s="7" t="s">
        <v>9</v>
      </c>
      <c r="C1242" s="8">
        <v>1883</v>
      </c>
      <c r="D1242" s="9">
        <v>45395</v>
      </c>
      <c r="E1242" s="13" t="str">
        <f>+HYPERLINK("http://trademark.i-assist.jp/data/china/image_1883th/76345262.pdf","76345262")</f>
        <v>76345262</v>
      </c>
      <c r="F1242" s="7" t="s">
        <v>3415</v>
      </c>
      <c r="G1242" s="7" t="s">
        <v>3416</v>
      </c>
      <c r="H1242" s="7" t="s">
        <v>3417</v>
      </c>
      <c r="I1242" s="9">
        <v>45303</v>
      </c>
    </row>
    <row r="1243" spans="1:9" ht="27" x14ac:dyDescent="0.15">
      <c r="A1243" s="6">
        <v>1242</v>
      </c>
      <c r="B1243" s="7" t="s">
        <v>9</v>
      </c>
      <c r="C1243" s="8">
        <v>1883</v>
      </c>
      <c r="D1243" s="9">
        <v>45395</v>
      </c>
      <c r="E1243" s="13" t="str">
        <f>+HYPERLINK("http://trademark.i-assist.jp/data/china/image_1883th/76345326.pdf","76345326")</f>
        <v>76345326</v>
      </c>
      <c r="F1243" s="7" t="s">
        <v>3418</v>
      </c>
      <c r="G1243" s="7" t="s">
        <v>3419</v>
      </c>
      <c r="H1243" s="7" t="s">
        <v>3420</v>
      </c>
      <c r="I1243" s="9">
        <v>45303</v>
      </c>
    </row>
    <row r="1244" spans="1:9" x14ac:dyDescent="0.15">
      <c r="A1244" s="6">
        <v>1243</v>
      </c>
      <c r="B1244" s="7" t="s">
        <v>9</v>
      </c>
      <c r="C1244" s="8">
        <v>1883</v>
      </c>
      <c r="D1244" s="9">
        <v>45395</v>
      </c>
      <c r="E1244" s="13" t="str">
        <f>+HYPERLINK("http://trademark.i-assist.jp/data/china/image_1883th/76345473.pdf","76345473")</f>
        <v>76345473</v>
      </c>
      <c r="F1244" s="7" t="s">
        <v>3421</v>
      </c>
      <c r="G1244" s="7" t="s">
        <v>3422</v>
      </c>
      <c r="H1244" s="7" t="s">
        <v>3423</v>
      </c>
      <c r="I1244" s="9">
        <v>45303</v>
      </c>
    </row>
    <row r="1245" spans="1:9" ht="27" x14ac:dyDescent="0.15">
      <c r="A1245" s="6">
        <v>1244</v>
      </c>
      <c r="B1245" s="7" t="s">
        <v>9</v>
      </c>
      <c r="C1245" s="8">
        <v>1883</v>
      </c>
      <c r="D1245" s="9">
        <v>45395</v>
      </c>
      <c r="E1245" s="13" t="str">
        <f>+HYPERLINK("http://trademark.i-assist.jp/data/china/image_1883th/76345722.pdf","76345722")</f>
        <v>76345722</v>
      </c>
      <c r="F1245" s="7" t="s">
        <v>3424</v>
      </c>
      <c r="G1245" s="7" t="s">
        <v>3425</v>
      </c>
      <c r="H1245" s="7" t="s">
        <v>3426</v>
      </c>
      <c r="I1245" s="9">
        <v>45303</v>
      </c>
    </row>
    <row r="1246" spans="1:9" x14ac:dyDescent="0.15">
      <c r="A1246" s="6">
        <v>1245</v>
      </c>
      <c r="B1246" s="7" t="s">
        <v>9</v>
      </c>
      <c r="C1246" s="8">
        <v>1883</v>
      </c>
      <c r="D1246" s="9">
        <v>45395</v>
      </c>
      <c r="E1246" s="13" t="str">
        <f>+HYPERLINK("http://trademark.i-assist.jp/data/china/image_1883th/76345855.pdf","76345855")</f>
        <v>76345855</v>
      </c>
      <c r="F1246" s="7" t="s">
        <v>3427</v>
      </c>
      <c r="G1246" s="7" t="s">
        <v>3428</v>
      </c>
      <c r="H1246" s="7" t="s">
        <v>3429</v>
      </c>
      <c r="I1246" s="9">
        <v>45303</v>
      </c>
    </row>
    <row r="1247" spans="1:9" x14ac:dyDescent="0.15">
      <c r="A1247" s="6">
        <v>1246</v>
      </c>
      <c r="B1247" s="7" t="s">
        <v>9</v>
      </c>
      <c r="C1247" s="8">
        <v>1883</v>
      </c>
      <c r="D1247" s="9">
        <v>45395</v>
      </c>
      <c r="E1247" s="13" t="str">
        <f>+HYPERLINK("http://trademark.i-assist.jp/data/china/image_1883th/76346559.pdf","76346559")</f>
        <v>76346559</v>
      </c>
      <c r="F1247" s="7" t="s">
        <v>3430</v>
      </c>
      <c r="G1247" s="7" t="s">
        <v>3431</v>
      </c>
      <c r="H1247" s="7" t="s">
        <v>3432</v>
      </c>
      <c r="I1247" s="9">
        <v>45303</v>
      </c>
    </row>
    <row r="1248" spans="1:9" x14ac:dyDescent="0.15">
      <c r="A1248" s="6">
        <v>1247</v>
      </c>
      <c r="B1248" s="7" t="s">
        <v>9</v>
      </c>
      <c r="C1248" s="8">
        <v>1883</v>
      </c>
      <c r="D1248" s="9">
        <v>45395</v>
      </c>
      <c r="E1248" s="13" t="str">
        <f>+HYPERLINK("http://trademark.i-assist.jp/data/china/image_1883th/76346665.pdf","76346665")</f>
        <v>76346665</v>
      </c>
      <c r="F1248" s="7" t="s">
        <v>3433</v>
      </c>
      <c r="G1248" s="7" t="s">
        <v>3434</v>
      </c>
      <c r="H1248" s="7" t="s">
        <v>3435</v>
      </c>
      <c r="I1248" s="9">
        <v>45303</v>
      </c>
    </row>
    <row r="1249" spans="1:9" x14ac:dyDescent="0.15">
      <c r="A1249" s="6">
        <v>1248</v>
      </c>
      <c r="B1249" s="7" t="s">
        <v>9</v>
      </c>
      <c r="C1249" s="8">
        <v>1883</v>
      </c>
      <c r="D1249" s="9">
        <v>45395</v>
      </c>
      <c r="E1249" s="13" t="str">
        <f>+HYPERLINK("http://trademark.i-assist.jp/data/china/image_1883th/76346817.pdf","76346817")</f>
        <v>76346817</v>
      </c>
      <c r="F1249" s="7" t="s">
        <v>3436</v>
      </c>
      <c r="G1249" s="7" t="s">
        <v>3437</v>
      </c>
      <c r="H1249" s="7" t="s">
        <v>3438</v>
      </c>
      <c r="I1249" s="9">
        <v>45303</v>
      </c>
    </row>
    <row r="1250" spans="1:9" x14ac:dyDescent="0.15">
      <c r="A1250" s="6">
        <v>1249</v>
      </c>
      <c r="B1250" s="7" t="s">
        <v>9</v>
      </c>
      <c r="C1250" s="8">
        <v>1883</v>
      </c>
      <c r="D1250" s="9">
        <v>45395</v>
      </c>
      <c r="E1250" s="13" t="str">
        <f>+HYPERLINK("http://trademark.i-assist.jp/data/china/image_1883th/76346910.pdf","76346910")</f>
        <v>76346910</v>
      </c>
      <c r="F1250" s="7" t="s">
        <v>3439</v>
      </c>
      <c r="G1250" s="7" t="s">
        <v>3440</v>
      </c>
      <c r="H1250" s="7" t="s">
        <v>3441</v>
      </c>
      <c r="I1250" s="9">
        <v>45303</v>
      </c>
    </row>
    <row r="1251" spans="1:9" x14ac:dyDescent="0.15">
      <c r="A1251" s="6">
        <v>1250</v>
      </c>
      <c r="B1251" s="7" t="s">
        <v>9</v>
      </c>
      <c r="C1251" s="8">
        <v>1883</v>
      </c>
      <c r="D1251" s="9">
        <v>45395</v>
      </c>
      <c r="E1251" s="13" t="str">
        <f>+HYPERLINK("http://trademark.i-assist.jp/data/china/image_1883th/76348086.pdf","76348086")</f>
        <v>76348086</v>
      </c>
      <c r="F1251" s="7" t="s">
        <v>57</v>
      </c>
      <c r="G1251" s="7" t="s">
        <v>3442</v>
      </c>
      <c r="H1251" s="7" t="s">
        <v>3443</v>
      </c>
      <c r="I1251" s="9">
        <v>45303</v>
      </c>
    </row>
    <row r="1252" spans="1:9" x14ac:dyDescent="0.15">
      <c r="A1252" s="6">
        <v>1251</v>
      </c>
      <c r="B1252" s="7" t="s">
        <v>9</v>
      </c>
      <c r="C1252" s="8">
        <v>1883</v>
      </c>
      <c r="D1252" s="9">
        <v>45395</v>
      </c>
      <c r="E1252" s="13" t="str">
        <f>+HYPERLINK("http://trademark.i-assist.jp/data/china/image_1883th/76349336.pdf","76349336")</f>
        <v>76349336</v>
      </c>
      <c r="F1252" s="7" t="s">
        <v>3444</v>
      </c>
      <c r="G1252" s="7" t="s">
        <v>3445</v>
      </c>
      <c r="H1252" s="7" t="s">
        <v>3446</v>
      </c>
      <c r="I1252" s="9">
        <v>45303</v>
      </c>
    </row>
    <row r="1253" spans="1:9" x14ac:dyDescent="0.15">
      <c r="A1253" s="6">
        <v>1252</v>
      </c>
      <c r="B1253" s="7" t="s">
        <v>9</v>
      </c>
      <c r="C1253" s="8">
        <v>1883</v>
      </c>
      <c r="D1253" s="9">
        <v>45395</v>
      </c>
      <c r="E1253" s="13" t="str">
        <f>+HYPERLINK("http://trademark.i-assist.jp/data/china/image_1883th/76349576.pdf","76349576")</f>
        <v>76349576</v>
      </c>
      <c r="F1253" s="7" t="s">
        <v>3447</v>
      </c>
      <c r="G1253" s="7" t="s">
        <v>3448</v>
      </c>
      <c r="H1253" s="7" t="s">
        <v>3449</v>
      </c>
      <c r="I1253" s="9">
        <v>45303</v>
      </c>
    </row>
    <row r="1254" spans="1:9" x14ac:dyDescent="0.15">
      <c r="A1254" s="6">
        <v>1253</v>
      </c>
      <c r="B1254" s="7" t="s">
        <v>9</v>
      </c>
      <c r="C1254" s="8">
        <v>1883</v>
      </c>
      <c r="D1254" s="9">
        <v>45395</v>
      </c>
      <c r="E1254" s="13" t="str">
        <f>+HYPERLINK("http://trademark.i-assist.jp/data/china/image_1883th/76349598.pdf","76349598")</f>
        <v>76349598</v>
      </c>
      <c r="F1254" s="7" t="s">
        <v>3450</v>
      </c>
      <c r="G1254" s="7" t="s">
        <v>3451</v>
      </c>
      <c r="H1254" s="7" t="s">
        <v>3452</v>
      </c>
      <c r="I1254" s="9">
        <v>45303</v>
      </c>
    </row>
    <row r="1255" spans="1:9" x14ac:dyDescent="0.15">
      <c r="A1255" s="6">
        <v>1254</v>
      </c>
      <c r="B1255" s="7" t="s">
        <v>9</v>
      </c>
      <c r="C1255" s="8">
        <v>1883</v>
      </c>
      <c r="D1255" s="9">
        <v>45395</v>
      </c>
      <c r="E1255" s="13" t="str">
        <f>+HYPERLINK("http://trademark.i-assist.jp/data/china/image_1883th/76349609.pdf","76349609")</f>
        <v>76349609</v>
      </c>
      <c r="F1255" s="7" t="s">
        <v>3453</v>
      </c>
      <c r="G1255" s="7" t="s">
        <v>3454</v>
      </c>
      <c r="H1255" s="7" t="s">
        <v>3455</v>
      </c>
      <c r="I1255" s="9">
        <v>45303</v>
      </c>
    </row>
    <row r="1256" spans="1:9" ht="27" x14ac:dyDescent="0.15">
      <c r="A1256" s="6">
        <v>1255</v>
      </c>
      <c r="B1256" s="7" t="s">
        <v>9</v>
      </c>
      <c r="C1256" s="8">
        <v>1883</v>
      </c>
      <c r="D1256" s="9">
        <v>45395</v>
      </c>
      <c r="E1256" s="13" t="str">
        <f>+HYPERLINK("http://trademark.i-assist.jp/data/china/image_1883th/76350312.pdf","76350312")</f>
        <v>76350312</v>
      </c>
      <c r="F1256" s="7" t="s">
        <v>3456</v>
      </c>
      <c r="G1256" s="7" t="s">
        <v>3457</v>
      </c>
      <c r="H1256" s="7" t="s">
        <v>3458</v>
      </c>
      <c r="I1256" s="9">
        <v>45303</v>
      </c>
    </row>
    <row r="1257" spans="1:9" x14ac:dyDescent="0.15">
      <c r="A1257" s="6">
        <v>1256</v>
      </c>
      <c r="B1257" s="7" t="s">
        <v>9</v>
      </c>
      <c r="C1257" s="8">
        <v>1883</v>
      </c>
      <c r="D1257" s="9">
        <v>45395</v>
      </c>
      <c r="E1257" s="13" t="str">
        <f>+HYPERLINK("http://trademark.i-assist.jp/data/china/image_1883th/76350317.pdf","76350317")</f>
        <v>76350317</v>
      </c>
      <c r="F1257" s="7" t="s">
        <v>3459</v>
      </c>
      <c r="G1257" s="7" t="s">
        <v>3460</v>
      </c>
      <c r="H1257" s="7" t="s">
        <v>3461</v>
      </c>
      <c r="I1257" s="9">
        <v>45303</v>
      </c>
    </row>
    <row r="1258" spans="1:9" x14ac:dyDescent="0.15">
      <c r="A1258" s="6">
        <v>1257</v>
      </c>
      <c r="B1258" s="7" t="s">
        <v>9</v>
      </c>
      <c r="C1258" s="8">
        <v>1883</v>
      </c>
      <c r="D1258" s="9">
        <v>45395</v>
      </c>
      <c r="E1258" s="13" t="str">
        <f>+HYPERLINK("http://trademark.i-assist.jp/data/china/image_1883th/76350811.pdf","76350811")</f>
        <v>76350811</v>
      </c>
      <c r="F1258" s="7" t="s">
        <v>57</v>
      </c>
      <c r="G1258" s="7" t="s">
        <v>3462</v>
      </c>
      <c r="H1258" s="7" t="s">
        <v>3463</v>
      </c>
      <c r="I1258" s="9">
        <v>45303</v>
      </c>
    </row>
    <row r="1259" spans="1:9" x14ac:dyDescent="0.15">
      <c r="A1259" s="6">
        <v>1258</v>
      </c>
      <c r="B1259" s="7" t="s">
        <v>9</v>
      </c>
      <c r="C1259" s="8">
        <v>1883</v>
      </c>
      <c r="D1259" s="9">
        <v>45395</v>
      </c>
      <c r="E1259" s="13" t="str">
        <f>+HYPERLINK("http://trademark.i-assist.jp/data/china/image_1883th/76350833.pdf","76350833")</f>
        <v>76350833</v>
      </c>
      <c r="F1259" s="7" t="s">
        <v>3464</v>
      </c>
      <c r="G1259" s="7" t="s">
        <v>3465</v>
      </c>
      <c r="H1259" s="7" t="s">
        <v>3466</v>
      </c>
      <c r="I1259" s="9">
        <v>45303</v>
      </c>
    </row>
    <row r="1260" spans="1:9" ht="27" x14ac:dyDescent="0.15">
      <c r="A1260" s="6">
        <v>1259</v>
      </c>
      <c r="B1260" s="7" t="s">
        <v>9</v>
      </c>
      <c r="C1260" s="8">
        <v>1883</v>
      </c>
      <c r="D1260" s="9">
        <v>45395</v>
      </c>
      <c r="E1260" s="13" t="str">
        <f>+HYPERLINK("http://trademark.i-assist.jp/data/china/image_1883th/76350913.pdf","76350913")</f>
        <v>76350913</v>
      </c>
      <c r="F1260" s="7" t="s">
        <v>3467</v>
      </c>
      <c r="G1260" s="7" t="s">
        <v>3468</v>
      </c>
      <c r="H1260" s="7" t="s">
        <v>3469</v>
      </c>
      <c r="I1260" s="9">
        <v>45303</v>
      </c>
    </row>
    <row r="1261" spans="1:9" x14ac:dyDescent="0.15">
      <c r="A1261" s="6">
        <v>1260</v>
      </c>
      <c r="B1261" s="7" t="s">
        <v>9</v>
      </c>
      <c r="C1261" s="8">
        <v>1883</v>
      </c>
      <c r="D1261" s="9">
        <v>45395</v>
      </c>
      <c r="E1261" s="13" t="str">
        <f>+HYPERLINK("http://trademark.i-assist.jp/data/china/image_1883th/76350933.pdf","76350933")</f>
        <v>76350933</v>
      </c>
      <c r="F1261" s="7" t="s">
        <v>3470</v>
      </c>
      <c r="G1261" s="7" t="s">
        <v>3471</v>
      </c>
      <c r="H1261" s="7" t="s">
        <v>3472</v>
      </c>
      <c r="I1261" s="9">
        <v>45303</v>
      </c>
    </row>
    <row r="1262" spans="1:9" x14ac:dyDescent="0.15">
      <c r="A1262" s="6">
        <v>1261</v>
      </c>
      <c r="B1262" s="7" t="s">
        <v>9</v>
      </c>
      <c r="C1262" s="8">
        <v>1883</v>
      </c>
      <c r="D1262" s="9">
        <v>45395</v>
      </c>
      <c r="E1262" s="13" t="str">
        <f>+HYPERLINK("http://trademark.i-assist.jp/data/china/image_1883th/76351075.pdf","76351075")</f>
        <v>76351075</v>
      </c>
      <c r="F1262" s="7" t="s">
        <v>3473</v>
      </c>
      <c r="G1262" s="7" t="s">
        <v>3474</v>
      </c>
      <c r="H1262" s="7" t="s">
        <v>3475</v>
      </c>
      <c r="I1262" s="9">
        <v>45303</v>
      </c>
    </row>
    <row r="1263" spans="1:9" x14ac:dyDescent="0.15">
      <c r="A1263" s="6">
        <v>1262</v>
      </c>
      <c r="B1263" s="7" t="s">
        <v>9</v>
      </c>
      <c r="C1263" s="8">
        <v>1883</v>
      </c>
      <c r="D1263" s="9">
        <v>45395</v>
      </c>
      <c r="E1263" s="13" t="str">
        <f>+HYPERLINK("http://trademark.i-assist.jp/data/china/image_1883th/76351176.pdf","76351176")</f>
        <v>76351176</v>
      </c>
      <c r="F1263" s="7" t="s">
        <v>3476</v>
      </c>
      <c r="G1263" s="7" t="s">
        <v>3477</v>
      </c>
      <c r="H1263" s="7" t="s">
        <v>3478</v>
      </c>
      <c r="I1263" s="9">
        <v>45303</v>
      </c>
    </row>
    <row r="1264" spans="1:9" x14ac:dyDescent="0.15">
      <c r="A1264" s="6">
        <v>1263</v>
      </c>
      <c r="B1264" s="7" t="s">
        <v>9</v>
      </c>
      <c r="C1264" s="8">
        <v>1883</v>
      </c>
      <c r="D1264" s="9">
        <v>45395</v>
      </c>
      <c r="E1264" s="13" t="str">
        <f>+HYPERLINK("http://trademark.i-assist.jp/data/china/image_1883th/76351300.pdf","76351300")</f>
        <v>76351300</v>
      </c>
      <c r="F1264" s="7" t="s">
        <v>3479</v>
      </c>
      <c r="G1264" s="7" t="s">
        <v>3480</v>
      </c>
      <c r="H1264" s="7" t="s">
        <v>3481</v>
      </c>
      <c r="I1264" s="9">
        <v>45303</v>
      </c>
    </row>
    <row r="1265" spans="1:9" x14ac:dyDescent="0.15">
      <c r="A1265" s="6">
        <v>1264</v>
      </c>
      <c r="B1265" s="7" t="s">
        <v>9</v>
      </c>
      <c r="C1265" s="8">
        <v>1883</v>
      </c>
      <c r="D1265" s="9">
        <v>45395</v>
      </c>
      <c r="E1265" s="13" t="str">
        <f>+HYPERLINK("http://trademark.i-assist.jp/data/china/image_1883th/76351396.pdf","76351396")</f>
        <v>76351396</v>
      </c>
      <c r="F1265" s="7" t="s">
        <v>3482</v>
      </c>
      <c r="G1265" s="7" t="s">
        <v>3483</v>
      </c>
      <c r="H1265" s="7" t="s">
        <v>3484</v>
      </c>
      <c r="I1265" s="9">
        <v>45303</v>
      </c>
    </row>
    <row r="1266" spans="1:9" x14ac:dyDescent="0.15">
      <c r="A1266" s="6">
        <v>1265</v>
      </c>
      <c r="B1266" s="7" t="s">
        <v>9</v>
      </c>
      <c r="C1266" s="8">
        <v>1883</v>
      </c>
      <c r="D1266" s="9">
        <v>45395</v>
      </c>
      <c r="E1266" s="13" t="str">
        <f>+HYPERLINK("http://trademark.i-assist.jp/data/china/image_1883th/76351397.pdf","76351397")</f>
        <v>76351397</v>
      </c>
      <c r="F1266" s="7" t="s">
        <v>3485</v>
      </c>
      <c r="G1266" s="7" t="s">
        <v>3486</v>
      </c>
      <c r="H1266" s="7" t="s">
        <v>3487</v>
      </c>
      <c r="I1266" s="9">
        <v>45303</v>
      </c>
    </row>
    <row r="1267" spans="1:9" x14ac:dyDescent="0.15">
      <c r="A1267" s="6">
        <v>1266</v>
      </c>
      <c r="B1267" s="7" t="s">
        <v>9</v>
      </c>
      <c r="C1267" s="8">
        <v>1883</v>
      </c>
      <c r="D1267" s="9">
        <v>45395</v>
      </c>
      <c r="E1267" s="13" t="str">
        <f>+HYPERLINK("http://trademark.i-assist.jp/data/china/image_1883th/76351592.pdf","76351592")</f>
        <v>76351592</v>
      </c>
      <c r="F1267" s="7" t="s">
        <v>3488</v>
      </c>
      <c r="G1267" s="7" t="s">
        <v>3489</v>
      </c>
      <c r="H1267" s="7" t="s">
        <v>3490</v>
      </c>
      <c r="I1267" s="9">
        <v>45303</v>
      </c>
    </row>
    <row r="1268" spans="1:9" x14ac:dyDescent="0.15">
      <c r="A1268" s="6">
        <v>1267</v>
      </c>
      <c r="B1268" s="7" t="s">
        <v>9</v>
      </c>
      <c r="C1268" s="8">
        <v>1883</v>
      </c>
      <c r="D1268" s="9">
        <v>45395</v>
      </c>
      <c r="E1268" s="13" t="str">
        <f>+HYPERLINK("http://trademark.i-assist.jp/data/china/image_1883th/76351746.pdf","76351746")</f>
        <v>76351746</v>
      </c>
      <c r="F1268" s="7" t="s">
        <v>3491</v>
      </c>
      <c r="G1268" s="7" t="s">
        <v>3492</v>
      </c>
      <c r="H1268" s="7" t="s">
        <v>3493</v>
      </c>
      <c r="I1268" s="9">
        <v>45303</v>
      </c>
    </row>
    <row r="1269" spans="1:9" x14ac:dyDescent="0.15">
      <c r="A1269" s="6">
        <v>1268</v>
      </c>
      <c r="B1269" s="7" t="s">
        <v>9</v>
      </c>
      <c r="C1269" s="8">
        <v>1883</v>
      </c>
      <c r="D1269" s="9">
        <v>45395</v>
      </c>
      <c r="E1269" s="13" t="str">
        <f>+HYPERLINK("http://trademark.i-assist.jp/data/china/image_1883th/76352285.pdf","76352285")</f>
        <v>76352285</v>
      </c>
      <c r="F1269" s="7" t="s">
        <v>3494</v>
      </c>
      <c r="G1269" s="7" t="s">
        <v>3495</v>
      </c>
      <c r="H1269" s="7" t="s">
        <v>3496</v>
      </c>
      <c r="I1269" s="9">
        <v>45303</v>
      </c>
    </row>
    <row r="1270" spans="1:9" x14ac:dyDescent="0.15">
      <c r="A1270" s="6">
        <v>1269</v>
      </c>
      <c r="B1270" s="7" t="s">
        <v>9</v>
      </c>
      <c r="C1270" s="8">
        <v>1883</v>
      </c>
      <c r="D1270" s="9">
        <v>45395</v>
      </c>
      <c r="E1270" s="13" t="str">
        <f>+HYPERLINK("http://trademark.i-assist.jp/data/china/image_1883th/76352295.pdf","76352295")</f>
        <v>76352295</v>
      </c>
      <c r="F1270" s="7" t="s">
        <v>3497</v>
      </c>
      <c r="G1270" s="7" t="s">
        <v>3498</v>
      </c>
      <c r="H1270" s="7" t="s">
        <v>3499</v>
      </c>
      <c r="I1270" s="9">
        <v>45303</v>
      </c>
    </row>
    <row r="1271" spans="1:9" x14ac:dyDescent="0.15">
      <c r="A1271" s="6">
        <v>1270</v>
      </c>
      <c r="B1271" s="7" t="s">
        <v>9</v>
      </c>
      <c r="C1271" s="8">
        <v>1883</v>
      </c>
      <c r="D1271" s="9">
        <v>45395</v>
      </c>
      <c r="E1271" s="13" t="str">
        <f>+HYPERLINK("http://trademark.i-assist.jp/data/china/image_1883th/76352513.pdf","76352513")</f>
        <v>76352513</v>
      </c>
      <c r="F1271" s="7" t="s">
        <v>3500</v>
      </c>
      <c r="G1271" s="7" t="s">
        <v>3501</v>
      </c>
      <c r="H1271" s="7" t="s">
        <v>3502</v>
      </c>
      <c r="I1271" s="9">
        <v>45303</v>
      </c>
    </row>
    <row r="1272" spans="1:9" x14ac:dyDescent="0.15">
      <c r="A1272" s="6">
        <v>1271</v>
      </c>
      <c r="B1272" s="7" t="s">
        <v>9</v>
      </c>
      <c r="C1272" s="8">
        <v>1883</v>
      </c>
      <c r="D1272" s="9">
        <v>45395</v>
      </c>
      <c r="E1272" s="13" t="str">
        <f>+HYPERLINK("http://trademark.i-assist.jp/data/china/image_1883th/76352812.pdf","76352812")</f>
        <v>76352812</v>
      </c>
      <c r="F1272" s="7" t="s">
        <v>3503</v>
      </c>
      <c r="G1272" s="7" t="s">
        <v>3504</v>
      </c>
      <c r="H1272" s="7" t="s">
        <v>3505</v>
      </c>
      <c r="I1272" s="9">
        <v>45303</v>
      </c>
    </row>
    <row r="1273" spans="1:9" x14ac:dyDescent="0.15">
      <c r="A1273" s="6">
        <v>1272</v>
      </c>
      <c r="B1273" s="7" t="s">
        <v>9</v>
      </c>
      <c r="C1273" s="8">
        <v>1883</v>
      </c>
      <c r="D1273" s="9">
        <v>45395</v>
      </c>
      <c r="E1273" s="13" t="str">
        <f>+HYPERLINK("http://trademark.i-assist.jp/data/china/image_1883th/76353148.pdf","76353148")</f>
        <v>76353148</v>
      </c>
      <c r="F1273" s="7" t="s">
        <v>3506</v>
      </c>
      <c r="G1273" s="7" t="s">
        <v>3507</v>
      </c>
      <c r="H1273" s="7" t="s">
        <v>3508</v>
      </c>
      <c r="I1273" s="9">
        <v>45303</v>
      </c>
    </row>
    <row r="1274" spans="1:9" x14ac:dyDescent="0.15">
      <c r="A1274" s="6">
        <v>1273</v>
      </c>
      <c r="B1274" s="7" t="s">
        <v>9</v>
      </c>
      <c r="C1274" s="8">
        <v>1883</v>
      </c>
      <c r="D1274" s="9">
        <v>45395</v>
      </c>
      <c r="E1274" s="13" t="str">
        <f>+HYPERLINK("http://trademark.i-assist.jp/data/china/image_1883th/76353279.pdf","76353279")</f>
        <v>76353279</v>
      </c>
      <c r="F1274" s="7" t="s">
        <v>3509</v>
      </c>
      <c r="G1274" s="7" t="s">
        <v>3510</v>
      </c>
      <c r="H1274" s="7" t="s">
        <v>3511</v>
      </c>
      <c r="I1274" s="9">
        <v>45303</v>
      </c>
    </row>
    <row r="1275" spans="1:9" x14ac:dyDescent="0.15">
      <c r="A1275" s="6">
        <v>1274</v>
      </c>
      <c r="B1275" s="7" t="s">
        <v>9</v>
      </c>
      <c r="C1275" s="8">
        <v>1883</v>
      </c>
      <c r="D1275" s="9">
        <v>45395</v>
      </c>
      <c r="E1275" s="13" t="str">
        <f>+HYPERLINK("http://trademark.i-assist.jp/data/china/image_1883th/76353300.pdf","76353300")</f>
        <v>76353300</v>
      </c>
      <c r="F1275" s="7" t="s">
        <v>3512</v>
      </c>
      <c r="G1275" s="7" t="s">
        <v>3513</v>
      </c>
      <c r="H1275" s="7" t="s">
        <v>3514</v>
      </c>
      <c r="I1275" s="9">
        <v>45303</v>
      </c>
    </row>
    <row r="1276" spans="1:9" x14ac:dyDescent="0.15">
      <c r="A1276" s="6">
        <v>1275</v>
      </c>
      <c r="B1276" s="7" t="s">
        <v>9</v>
      </c>
      <c r="C1276" s="8">
        <v>1883</v>
      </c>
      <c r="D1276" s="9">
        <v>45395</v>
      </c>
      <c r="E1276" s="13" t="str">
        <f>+HYPERLINK("http://trademark.i-assist.jp/data/china/image_1883th/76353354.pdf","76353354")</f>
        <v>76353354</v>
      </c>
      <c r="F1276" s="7" t="s">
        <v>3515</v>
      </c>
      <c r="G1276" s="7" t="s">
        <v>3516</v>
      </c>
      <c r="H1276" s="7" t="s">
        <v>3517</v>
      </c>
      <c r="I1276" s="9">
        <v>45303</v>
      </c>
    </row>
    <row r="1277" spans="1:9" x14ac:dyDescent="0.15">
      <c r="A1277" s="6">
        <v>1276</v>
      </c>
      <c r="B1277" s="7" t="s">
        <v>9</v>
      </c>
      <c r="C1277" s="8">
        <v>1883</v>
      </c>
      <c r="D1277" s="9">
        <v>45395</v>
      </c>
      <c r="E1277" s="13" t="str">
        <f>+HYPERLINK("http://trademark.i-assist.jp/data/china/image_1883th/76353576.pdf","76353576")</f>
        <v>76353576</v>
      </c>
      <c r="F1277" s="7" t="s">
        <v>3518</v>
      </c>
      <c r="G1277" s="7" t="s">
        <v>3504</v>
      </c>
      <c r="H1277" s="7" t="s">
        <v>3519</v>
      </c>
      <c r="I1277" s="9">
        <v>45303</v>
      </c>
    </row>
    <row r="1278" spans="1:9" x14ac:dyDescent="0.15">
      <c r="A1278" s="6">
        <v>1277</v>
      </c>
      <c r="B1278" s="7" t="s">
        <v>9</v>
      </c>
      <c r="C1278" s="8">
        <v>1883</v>
      </c>
      <c r="D1278" s="9">
        <v>45395</v>
      </c>
      <c r="E1278" s="13" t="str">
        <f>+HYPERLINK("http://trademark.i-assist.jp/data/china/image_1883th/76354306.pdf","76354306")</f>
        <v>76354306</v>
      </c>
      <c r="F1278" s="7" t="s">
        <v>3520</v>
      </c>
      <c r="G1278" s="7" t="s">
        <v>3521</v>
      </c>
      <c r="H1278" s="7" t="s">
        <v>3522</v>
      </c>
      <c r="I1278" s="9">
        <v>45303</v>
      </c>
    </row>
    <row r="1279" spans="1:9" x14ac:dyDescent="0.15">
      <c r="A1279" s="6">
        <v>1278</v>
      </c>
      <c r="B1279" s="7" t="s">
        <v>9</v>
      </c>
      <c r="C1279" s="8">
        <v>1883</v>
      </c>
      <c r="D1279" s="9">
        <v>45395</v>
      </c>
      <c r="E1279" s="13" t="str">
        <f>+HYPERLINK("http://trademark.i-assist.jp/data/china/image_1883th/76354335.pdf","76354335")</f>
        <v>76354335</v>
      </c>
      <c r="F1279" s="7" t="s">
        <v>3523</v>
      </c>
      <c r="G1279" s="7" t="s">
        <v>3454</v>
      </c>
      <c r="H1279" s="7" t="s">
        <v>3524</v>
      </c>
      <c r="I1279" s="9">
        <v>45303</v>
      </c>
    </row>
    <row r="1280" spans="1:9" x14ac:dyDescent="0.15">
      <c r="A1280" s="6">
        <v>1279</v>
      </c>
      <c r="B1280" s="7" t="s">
        <v>9</v>
      </c>
      <c r="C1280" s="8">
        <v>1883</v>
      </c>
      <c r="D1280" s="9">
        <v>45395</v>
      </c>
      <c r="E1280" s="13" t="str">
        <f>+HYPERLINK("http://trademark.i-assist.jp/data/china/image_1883th/76354444.pdf","76354444")</f>
        <v>76354444</v>
      </c>
      <c r="F1280" s="7" t="s">
        <v>3525</v>
      </c>
      <c r="G1280" s="7" t="s">
        <v>3516</v>
      </c>
      <c r="H1280" s="7" t="s">
        <v>3526</v>
      </c>
      <c r="I1280" s="9">
        <v>45303</v>
      </c>
    </row>
    <row r="1281" spans="1:9" x14ac:dyDescent="0.15">
      <c r="A1281" s="6">
        <v>1280</v>
      </c>
      <c r="B1281" s="7" t="s">
        <v>9</v>
      </c>
      <c r="C1281" s="8">
        <v>1883</v>
      </c>
      <c r="D1281" s="9">
        <v>45395</v>
      </c>
      <c r="E1281" s="13" t="str">
        <f>+HYPERLINK("http://trademark.i-assist.jp/data/china/image_1883th/76354591.pdf","76354591")</f>
        <v>76354591</v>
      </c>
      <c r="F1281" s="7" t="s">
        <v>3527</v>
      </c>
      <c r="G1281" s="7" t="s">
        <v>3528</v>
      </c>
      <c r="H1281" s="7" t="s">
        <v>3529</v>
      </c>
      <c r="I1281" s="9">
        <v>45303</v>
      </c>
    </row>
    <row r="1282" spans="1:9" x14ac:dyDescent="0.15">
      <c r="A1282" s="6">
        <v>1281</v>
      </c>
      <c r="B1282" s="7" t="s">
        <v>9</v>
      </c>
      <c r="C1282" s="8">
        <v>1883</v>
      </c>
      <c r="D1282" s="9">
        <v>45395</v>
      </c>
      <c r="E1282" s="13" t="str">
        <f>+HYPERLINK("http://trademark.i-assist.jp/data/china/image_1883th/76354644.pdf","76354644")</f>
        <v>76354644</v>
      </c>
      <c r="F1282" s="7" t="s">
        <v>3530</v>
      </c>
      <c r="G1282" s="7" t="s">
        <v>3531</v>
      </c>
      <c r="H1282" s="7" t="s">
        <v>3532</v>
      </c>
      <c r="I1282" s="9">
        <v>45303</v>
      </c>
    </row>
    <row r="1283" spans="1:9" x14ac:dyDescent="0.15">
      <c r="A1283" s="6">
        <v>1282</v>
      </c>
      <c r="B1283" s="7" t="s">
        <v>9</v>
      </c>
      <c r="C1283" s="8">
        <v>1883</v>
      </c>
      <c r="D1283" s="9">
        <v>45395</v>
      </c>
      <c r="E1283" s="13" t="str">
        <f>+HYPERLINK("http://trademark.i-assist.jp/data/china/image_1883th/76354871.pdf","76354871")</f>
        <v>76354871</v>
      </c>
      <c r="F1283" s="7" t="s">
        <v>3533</v>
      </c>
      <c r="G1283" s="7" t="s">
        <v>3534</v>
      </c>
      <c r="H1283" s="7" t="s">
        <v>3535</v>
      </c>
      <c r="I1283" s="9">
        <v>45303</v>
      </c>
    </row>
    <row r="1284" spans="1:9" x14ac:dyDescent="0.15">
      <c r="A1284" s="6">
        <v>1283</v>
      </c>
      <c r="B1284" s="7" t="s">
        <v>9</v>
      </c>
      <c r="C1284" s="8">
        <v>1883</v>
      </c>
      <c r="D1284" s="9">
        <v>45395</v>
      </c>
      <c r="E1284" s="13" t="str">
        <f>+HYPERLINK("http://trademark.i-assist.jp/data/china/image_1883th/76354901.pdf","76354901")</f>
        <v>76354901</v>
      </c>
      <c r="F1284" s="7" t="s">
        <v>3536</v>
      </c>
      <c r="G1284" s="7" t="s">
        <v>3537</v>
      </c>
      <c r="H1284" s="7" t="s">
        <v>3538</v>
      </c>
      <c r="I1284" s="9">
        <v>45303</v>
      </c>
    </row>
    <row r="1285" spans="1:9" x14ac:dyDescent="0.15">
      <c r="A1285" s="6">
        <v>1284</v>
      </c>
      <c r="B1285" s="7" t="s">
        <v>9</v>
      </c>
      <c r="C1285" s="8">
        <v>1883</v>
      </c>
      <c r="D1285" s="9">
        <v>45395</v>
      </c>
      <c r="E1285" s="13" t="str">
        <f>+HYPERLINK("http://trademark.i-assist.jp/data/china/image_1883th/76355097.pdf","76355097")</f>
        <v>76355097</v>
      </c>
      <c r="F1285" s="7" t="s">
        <v>3539</v>
      </c>
      <c r="G1285" s="7" t="s">
        <v>3540</v>
      </c>
      <c r="H1285" s="7" t="s">
        <v>3541</v>
      </c>
      <c r="I1285" s="9">
        <v>45303</v>
      </c>
    </row>
    <row r="1286" spans="1:9" x14ac:dyDescent="0.15">
      <c r="A1286" s="6">
        <v>1285</v>
      </c>
      <c r="B1286" s="7" t="s">
        <v>9</v>
      </c>
      <c r="C1286" s="8">
        <v>1883</v>
      </c>
      <c r="D1286" s="9">
        <v>45395</v>
      </c>
      <c r="E1286" s="13" t="str">
        <f>+HYPERLINK("http://trademark.i-assist.jp/data/china/image_1883th/76355159.pdf","76355159")</f>
        <v>76355159</v>
      </c>
      <c r="F1286" s="7" t="s">
        <v>3542</v>
      </c>
      <c r="G1286" s="7" t="s">
        <v>3543</v>
      </c>
      <c r="H1286" s="7" t="s">
        <v>3544</v>
      </c>
      <c r="I1286" s="9">
        <v>45303</v>
      </c>
    </row>
    <row r="1287" spans="1:9" x14ac:dyDescent="0.15">
      <c r="A1287" s="6">
        <v>1286</v>
      </c>
      <c r="B1287" s="7" t="s">
        <v>9</v>
      </c>
      <c r="C1287" s="8">
        <v>1883</v>
      </c>
      <c r="D1287" s="9">
        <v>45395</v>
      </c>
      <c r="E1287" s="13" t="str">
        <f>+HYPERLINK("http://trademark.i-assist.jp/data/china/image_1883th/76355335.pdf","76355335")</f>
        <v>76355335</v>
      </c>
      <c r="F1287" s="7" t="s">
        <v>3545</v>
      </c>
      <c r="G1287" s="7" t="s">
        <v>3546</v>
      </c>
      <c r="H1287" s="7" t="s">
        <v>3547</v>
      </c>
      <c r="I1287" s="9">
        <v>45303</v>
      </c>
    </row>
    <row r="1288" spans="1:9" x14ac:dyDescent="0.15">
      <c r="A1288" s="6">
        <v>1287</v>
      </c>
      <c r="B1288" s="7" t="s">
        <v>9</v>
      </c>
      <c r="C1288" s="8">
        <v>1883</v>
      </c>
      <c r="D1288" s="9">
        <v>45395</v>
      </c>
      <c r="E1288" s="13" t="str">
        <f>+HYPERLINK("http://trademark.i-assist.jp/data/china/image_1883th/76355400.pdf","76355400")</f>
        <v>76355400</v>
      </c>
      <c r="F1288" s="7" t="s">
        <v>3548</v>
      </c>
      <c r="G1288" s="7" t="s">
        <v>3549</v>
      </c>
      <c r="H1288" s="7" t="s">
        <v>3550</v>
      </c>
      <c r="I1288" s="9">
        <v>45303</v>
      </c>
    </row>
    <row r="1289" spans="1:9" x14ac:dyDescent="0.15">
      <c r="A1289" s="6">
        <v>1288</v>
      </c>
      <c r="B1289" s="7" t="s">
        <v>9</v>
      </c>
      <c r="C1289" s="8">
        <v>1883</v>
      </c>
      <c r="D1289" s="9">
        <v>45395</v>
      </c>
      <c r="E1289" s="13" t="str">
        <f>+HYPERLINK("http://trademark.i-assist.jp/data/china/image_1883th/76355805.pdf","76355805")</f>
        <v>76355805</v>
      </c>
      <c r="F1289" s="7" t="s">
        <v>3551</v>
      </c>
      <c r="G1289" s="7" t="s">
        <v>3549</v>
      </c>
      <c r="H1289" s="7" t="s">
        <v>3552</v>
      </c>
      <c r="I1289" s="9">
        <v>45303</v>
      </c>
    </row>
    <row r="1290" spans="1:9" x14ac:dyDescent="0.15">
      <c r="A1290" s="6">
        <v>1289</v>
      </c>
      <c r="B1290" s="7" t="s">
        <v>9</v>
      </c>
      <c r="C1290" s="8">
        <v>1883</v>
      </c>
      <c r="D1290" s="9">
        <v>45395</v>
      </c>
      <c r="E1290" s="13" t="str">
        <f>+HYPERLINK("http://trademark.i-assist.jp/data/china/image_1883th/76355889.pdf","76355889")</f>
        <v>76355889</v>
      </c>
      <c r="F1290" s="7" t="s">
        <v>3553</v>
      </c>
      <c r="G1290" s="7" t="s">
        <v>3554</v>
      </c>
      <c r="H1290" s="7" t="s">
        <v>3555</v>
      </c>
      <c r="I1290" s="9">
        <v>45303</v>
      </c>
    </row>
    <row r="1291" spans="1:9" x14ac:dyDescent="0.15">
      <c r="A1291" s="6">
        <v>1290</v>
      </c>
      <c r="B1291" s="7" t="s">
        <v>9</v>
      </c>
      <c r="C1291" s="8">
        <v>1883</v>
      </c>
      <c r="D1291" s="9">
        <v>45395</v>
      </c>
      <c r="E1291" s="13" t="str">
        <f>+HYPERLINK("http://trademark.i-assist.jp/data/china/image_1883th/76356182.pdf","76356182")</f>
        <v>76356182</v>
      </c>
      <c r="F1291" s="7" t="s">
        <v>3556</v>
      </c>
      <c r="G1291" s="7" t="s">
        <v>3416</v>
      </c>
      <c r="H1291" s="7" t="s">
        <v>3557</v>
      </c>
      <c r="I1291" s="9">
        <v>45303</v>
      </c>
    </row>
    <row r="1292" spans="1:9" x14ac:dyDescent="0.15">
      <c r="A1292" s="6">
        <v>1291</v>
      </c>
      <c r="B1292" s="7" t="s">
        <v>9</v>
      </c>
      <c r="C1292" s="8">
        <v>1883</v>
      </c>
      <c r="D1292" s="9">
        <v>45395</v>
      </c>
      <c r="E1292" s="13" t="str">
        <f>+HYPERLINK("http://trademark.i-assist.jp/data/china/image_1883th/76356226.pdf","76356226")</f>
        <v>76356226</v>
      </c>
      <c r="F1292" s="7" t="s">
        <v>3558</v>
      </c>
      <c r="G1292" s="7" t="s">
        <v>3559</v>
      </c>
      <c r="H1292" s="7" t="s">
        <v>3560</v>
      </c>
      <c r="I1292" s="9">
        <v>45303</v>
      </c>
    </row>
    <row r="1293" spans="1:9" x14ac:dyDescent="0.15">
      <c r="A1293" s="6">
        <v>1292</v>
      </c>
      <c r="B1293" s="7" t="s">
        <v>9</v>
      </c>
      <c r="C1293" s="8">
        <v>1883</v>
      </c>
      <c r="D1293" s="9">
        <v>45395</v>
      </c>
      <c r="E1293" s="13" t="str">
        <f>+HYPERLINK("http://trademark.i-assist.jp/data/china/image_1883th/76356313.pdf","76356313")</f>
        <v>76356313</v>
      </c>
      <c r="F1293" s="7" t="s">
        <v>3561</v>
      </c>
      <c r="G1293" s="7" t="s">
        <v>3562</v>
      </c>
      <c r="H1293" s="7" t="s">
        <v>3563</v>
      </c>
      <c r="I1293" s="9">
        <v>45303</v>
      </c>
    </row>
    <row r="1294" spans="1:9" x14ac:dyDescent="0.15">
      <c r="A1294" s="6">
        <v>1293</v>
      </c>
      <c r="B1294" s="7" t="s">
        <v>9</v>
      </c>
      <c r="C1294" s="8">
        <v>1883</v>
      </c>
      <c r="D1294" s="9">
        <v>45395</v>
      </c>
      <c r="E1294" s="13" t="str">
        <f>+HYPERLINK("http://trademark.i-assist.jp/data/china/image_1883th/76356742.pdf","76356742")</f>
        <v>76356742</v>
      </c>
      <c r="F1294" s="7" t="s">
        <v>3564</v>
      </c>
      <c r="G1294" s="7" t="s">
        <v>3559</v>
      </c>
      <c r="H1294" s="7" t="s">
        <v>3565</v>
      </c>
      <c r="I1294" s="9">
        <v>45303</v>
      </c>
    </row>
    <row r="1295" spans="1:9" x14ac:dyDescent="0.15">
      <c r="A1295" s="6">
        <v>1294</v>
      </c>
      <c r="B1295" s="7" t="s">
        <v>9</v>
      </c>
      <c r="C1295" s="8">
        <v>1883</v>
      </c>
      <c r="D1295" s="9">
        <v>45395</v>
      </c>
      <c r="E1295" s="13" t="str">
        <f>+HYPERLINK("http://trademark.i-assist.jp/data/china/image_1883th/76356785.pdf","76356785")</f>
        <v>76356785</v>
      </c>
      <c r="F1295" s="7" t="s">
        <v>3566</v>
      </c>
      <c r="G1295" s="7" t="s">
        <v>3567</v>
      </c>
      <c r="H1295" s="7" t="s">
        <v>3568</v>
      </c>
      <c r="I1295" s="9">
        <v>45303</v>
      </c>
    </row>
    <row r="1296" spans="1:9" x14ac:dyDescent="0.15">
      <c r="A1296" s="6">
        <v>1295</v>
      </c>
      <c r="B1296" s="7" t="s">
        <v>9</v>
      </c>
      <c r="C1296" s="8">
        <v>1883</v>
      </c>
      <c r="D1296" s="9">
        <v>45395</v>
      </c>
      <c r="E1296" s="13" t="str">
        <f>+HYPERLINK("http://trademark.i-assist.jp/data/china/image_1883th/76356816.pdf","76356816")</f>
        <v>76356816</v>
      </c>
      <c r="F1296" s="7" t="s">
        <v>3569</v>
      </c>
      <c r="G1296" s="7" t="s">
        <v>3570</v>
      </c>
      <c r="H1296" s="7" t="s">
        <v>3571</v>
      </c>
      <c r="I1296" s="9">
        <v>45303</v>
      </c>
    </row>
    <row r="1297" spans="1:9" x14ac:dyDescent="0.15">
      <c r="A1297" s="6">
        <v>1296</v>
      </c>
      <c r="B1297" s="7" t="s">
        <v>9</v>
      </c>
      <c r="C1297" s="8">
        <v>1883</v>
      </c>
      <c r="D1297" s="9">
        <v>45395</v>
      </c>
      <c r="E1297" s="13" t="str">
        <f>+HYPERLINK("http://trademark.i-assist.jp/data/china/image_1883th/76356849.pdf","76356849")</f>
        <v>76356849</v>
      </c>
      <c r="F1297" s="7" t="s">
        <v>3572</v>
      </c>
      <c r="G1297" s="7" t="s">
        <v>1084</v>
      </c>
      <c r="H1297" s="7" t="s">
        <v>3573</v>
      </c>
      <c r="I1297" s="9">
        <v>45303</v>
      </c>
    </row>
    <row r="1298" spans="1:9" x14ac:dyDescent="0.15">
      <c r="A1298" s="6">
        <v>1297</v>
      </c>
      <c r="B1298" s="7" t="s">
        <v>9</v>
      </c>
      <c r="C1298" s="8">
        <v>1883</v>
      </c>
      <c r="D1298" s="9">
        <v>45395</v>
      </c>
      <c r="E1298" s="13" t="str">
        <f>+HYPERLINK("http://trademark.i-assist.jp/data/china/image_1883th/76357361.pdf","76357361")</f>
        <v>76357361</v>
      </c>
      <c r="F1298" s="7" t="s">
        <v>3574</v>
      </c>
      <c r="G1298" s="7" t="s">
        <v>3575</v>
      </c>
      <c r="H1298" s="7" t="s">
        <v>3576</v>
      </c>
      <c r="I1298" s="9">
        <v>45303</v>
      </c>
    </row>
    <row r="1299" spans="1:9" x14ac:dyDescent="0.15">
      <c r="A1299" s="6">
        <v>1298</v>
      </c>
      <c r="B1299" s="7" t="s">
        <v>9</v>
      </c>
      <c r="C1299" s="8">
        <v>1883</v>
      </c>
      <c r="D1299" s="9">
        <v>45395</v>
      </c>
      <c r="E1299" s="13" t="str">
        <f>+HYPERLINK("http://trademark.i-assist.jp/data/china/image_1883th/76357746.pdf","76357746")</f>
        <v>76357746</v>
      </c>
      <c r="F1299" s="7" t="s">
        <v>3577</v>
      </c>
      <c r="G1299" s="7" t="s">
        <v>3578</v>
      </c>
      <c r="H1299" s="7" t="s">
        <v>3579</v>
      </c>
      <c r="I1299" s="9">
        <v>45303</v>
      </c>
    </row>
    <row r="1300" spans="1:9" ht="27" x14ac:dyDescent="0.15">
      <c r="A1300" s="6">
        <v>1299</v>
      </c>
      <c r="B1300" s="7" t="s">
        <v>9</v>
      </c>
      <c r="C1300" s="8">
        <v>1883</v>
      </c>
      <c r="D1300" s="9">
        <v>45395</v>
      </c>
      <c r="E1300" s="13" t="str">
        <f>+HYPERLINK("http://trademark.i-assist.jp/data/china/image_1883th/76358278.pdf","76358278")</f>
        <v>76358278</v>
      </c>
      <c r="F1300" s="7" t="s">
        <v>3580</v>
      </c>
      <c r="G1300" s="7" t="s">
        <v>3581</v>
      </c>
      <c r="H1300" s="7" t="s">
        <v>3582</v>
      </c>
      <c r="I1300" s="9">
        <v>45303</v>
      </c>
    </row>
    <row r="1301" spans="1:9" x14ac:dyDescent="0.15">
      <c r="A1301" s="6">
        <v>1300</v>
      </c>
      <c r="B1301" s="7" t="s">
        <v>9</v>
      </c>
      <c r="C1301" s="8">
        <v>1883</v>
      </c>
      <c r="D1301" s="9">
        <v>45395</v>
      </c>
      <c r="E1301" s="13" t="str">
        <f>+HYPERLINK("http://trademark.i-assist.jp/data/china/image_1883th/76358486.pdf","76358486")</f>
        <v>76358486</v>
      </c>
      <c r="F1301" s="7" t="s">
        <v>3583</v>
      </c>
      <c r="G1301" s="7" t="s">
        <v>3584</v>
      </c>
      <c r="H1301" s="7" t="s">
        <v>3585</v>
      </c>
      <c r="I1301" s="9">
        <v>45303</v>
      </c>
    </row>
    <row r="1302" spans="1:9" x14ac:dyDescent="0.15">
      <c r="A1302" s="6">
        <v>1301</v>
      </c>
      <c r="B1302" s="7" t="s">
        <v>9</v>
      </c>
      <c r="C1302" s="8">
        <v>1883</v>
      </c>
      <c r="D1302" s="9">
        <v>45395</v>
      </c>
      <c r="E1302" s="13" t="str">
        <f>+HYPERLINK("http://trademark.i-assist.jp/data/china/image_1883th/76358704.pdf","76358704")</f>
        <v>76358704</v>
      </c>
      <c r="F1302" s="7" t="s">
        <v>3586</v>
      </c>
      <c r="G1302" s="7" t="s">
        <v>3587</v>
      </c>
      <c r="H1302" s="7" t="s">
        <v>3588</v>
      </c>
      <c r="I1302" s="9">
        <v>45303</v>
      </c>
    </row>
    <row r="1303" spans="1:9" x14ac:dyDescent="0.15">
      <c r="A1303" s="6">
        <v>1302</v>
      </c>
      <c r="B1303" s="7" t="s">
        <v>9</v>
      </c>
      <c r="C1303" s="8">
        <v>1883</v>
      </c>
      <c r="D1303" s="9">
        <v>45395</v>
      </c>
      <c r="E1303" s="13" t="str">
        <f>+HYPERLINK("http://trademark.i-assist.jp/data/china/image_1883th/76358830.pdf","76358830")</f>
        <v>76358830</v>
      </c>
      <c r="F1303" s="7" t="s">
        <v>3589</v>
      </c>
      <c r="G1303" s="7" t="s">
        <v>3590</v>
      </c>
      <c r="H1303" s="7" t="s">
        <v>3591</v>
      </c>
      <c r="I1303" s="9">
        <v>45303</v>
      </c>
    </row>
    <row r="1304" spans="1:9" x14ac:dyDescent="0.15">
      <c r="A1304" s="6">
        <v>1303</v>
      </c>
      <c r="B1304" s="7" t="s">
        <v>9</v>
      </c>
      <c r="C1304" s="8">
        <v>1883</v>
      </c>
      <c r="D1304" s="9">
        <v>45395</v>
      </c>
      <c r="E1304" s="13" t="str">
        <f>+HYPERLINK("http://trademark.i-assist.jp/data/china/image_1883th/76358964.pdf","76358964")</f>
        <v>76358964</v>
      </c>
      <c r="F1304" s="7" t="s">
        <v>3592</v>
      </c>
      <c r="G1304" s="7" t="s">
        <v>3416</v>
      </c>
      <c r="H1304" s="7" t="s">
        <v>3593</v>
      </c>
      <c r="I1304" s="9">
        <v>45303</v>
      </c>
    </row>
    <row r="1305" spans="1:9" x14ac:dyDescent="0.15">
      <c r="A1305" s="6">
        <v>1304</v>
      </c>
      <c r="B1305" s="7" t="s">
        <v>9</v>
      </c>
      <c r="C1305" s="8">
        <v>1883</v>
      </c>
      <c r="D1305" s="9">
        <v>45395</v>
      </c>
      <c r="E1305" s="13" t="str">
        <f>+HYPERLINK("http://trademark.i-assist.jp/data/china/image_1883th/76359041.pdf","76359041")</f>
        <v>76359041</v>
      </c>
      <c r="F1305" s="7" t="s">
        <v>3594</v>
      </c>
      <c r="G1305" s="7" t="s">
        <v>3549</v>
      </c>
      <c r="H1305" s="7" t="s">
        <v>3595</v>
      </c>
      <c r="I1305" s="9">
        <v>45303</v>
      </c>
    </row>
    <row r="1306" spans="1:9" ht="27" x14ac:dyDescent="0.15">
      <c r="A1306" s="6">
        <v>1305</v>
      </c>
      <c r="B1306" s="7" t="s">
        <v>9</v>
      </c>
      <c r="C1306" s="8">
        <v>1883</v>
      </c>
      <c r="D1306" s="9">
        <v>45395</v>
      </c>
      <c r="E1306" s="13" t="str">
        <f>+HYPERLINK("http://trademark.i-assist.jp/data/china/image_1883th/76359091.pdf","76359091")</f>
        <v>76359091</v>
      </c>
      <c r="F1306" s="7" t="s">
        <v>3596</v>
      </c>
      <c r="G1306" s="7" t="s">
        <v>2977</v>
      </c>
      <c r="H1306" s="7" t="s">
        <v>3597</v>
      </c>
      <c r="I1306" s="9">
        <v>45303</v>
      </c>
    </row>
    <row r="1307" spans="1:9" x14ac:dyDescent="0.15">
      <c r="A1307" s="6">
        <v>1306</v>
      </c>
      <c r="B1307" s="7" t="s">
        <v>9</v>
      </c>
      <c r="C1307" s="8">
        <v>1883</v>
      </c>
      <c r="D1307" s="9">
        <v>45395</v>
      </c>
      <c r="E1307" s="13" t="str">
        <f>+HYPERLINK("http://trademark.i-assist.jp/data/china/image_1883th/76359208.pdf","76359208")</f>
        <v>76359208</v>
      </c>
      <c r="F1307" s="7" t="s">
        <v>3598</v>
      </c>
      <c r="G1307" s="7" t="s">
        <v>3599</v>
      </c>
      <c r="H1307" s="7" t="s">
        <v>3600</v>
      </c>
      <c r="I1307" s="9">
        <v>45303</v>
      </c>
    </row>
    <row r="1308" spans="1:9" x14ac:dyDescent="0.15">
      <c r="A1308" s="6">
        <v>1307</v>
      </c>
      <c r="B1308" s="7" t="s">
        <v>9</v>
      </c>
      <c r="C1308" s="8">
        <v>1883</v>
      </c>
      <c r="D1308" s="9">
        <v>45395</v>
      </c>
      <c r="E1308" s="13" t="str">
        <f>+HYPERLINK("http://trademark.i-assist.jp/data/china/image_1883th/76359337.pdf","76359337")</f>
        <v>76359337</v>
      </c>
      <c r="F1308" s="7" t="s">
        <v>3601</v>
      </c>
      <c r="G1308" s="7" t="s">
        <v>3602</v>
      </c>
      <c r="H1308" s="7" t="s">
        <v>3603</v>
      </c>
      <c r="I1308" s="9">
        <v>45303</v>
      </c>
    </row>
    <row r="1309" spans="1:9" x14ac:dyDescent="0.15">
      <c r="A1309" s="6">
        <v>1308</v>
      </c>
      <c r="B1309" s="7" t="s">
        <v>9</v>
      </c>
      <c r="C1309" s="8">
        <v>1883</v>
      </c>
      <c r="D1309" s="9">
        <v>45395</v>
      </c>
      <c r="E1309" s="13" t="str">
        <f>+HYPERLINK("http://trademark.i-assist.jp/data/china/image_1883th/76360268.pdf","76360268")</f>
        <v>76360268</v>
      </c>
      <c r="F1309" s="7" t="s">
        <v>3604</v>
      </c>
      <c r="G1309" s="7" t="s">
        <v>3605</v>
      </c>
      <c r="H1309" s="7" t="s">
        <v>3606</v>
      </c>
      <c r="I1309" s="9">
        <v>45303</v>
      </c>
    </row>
    <row r="1310" spans="1:9" x14ac:dyDescent="0.15">
      <c r="A1310" s="6">
        <v>1309</v>
      </c>
      <c r="B1310" s="7" t="s">
        <v>9</v>
      </c>
      <c r="C1310" s="8">
        <v>1883</v>
      </c>
      <c r="D1310" s="9">
        <v>45395</v>
      </c>
      <c r="E1310" s="13" t="str">
        <f>+HYPERLINK("http://trademark.i-assist.jp/data/china/image_1883th/76360585.pdf","76360585")</f>
        <v>76360585</v>
      </c>
      <c r="F1310" s="7" t="s">
        <v>3607</v>
      </c>
      <c r="G1310" s="7" t="s">
        <v>3608</v>
      </c>
      <c r="H1310" s="7" t="s">
        <v>3609</v>
      </c>
      <c r="I1310" s="9">
        <v>45303</v>
      </c>
    </row>
    <row r="1311" spans="1:9" x14ac:dyDescent="0.15">
      <c r="A1311" s="6">
        <v>1310</v>
      </c>
      <c r="B1311" s="7" t="s">
        <v>9</v>
      </c>
      <c r="C1311" s="8">
        <v>1883</v>
      </c>
      <c r="D1311" s="9">
        <v>45395</v>
      </c>
      <c r="E1311" s="13" t="str">
        <f>+HYPERLINK("http://trademark.i-assist.jp/data/china/image_1883th/76360609.pdf","76360609")</f>
        <v>76360609</v>
      </c>
      <c r="F1311" s="7" t="s">
        <v>3610</v>
      </c>
      <c r="G1311" s="7" t="s">
        <v>3611</v>
      </c>
      <c r="H1311" s="7" t="s">
        <v>3612</v>
      </c>
      <c r="I1311" s="9">
        <v>45303</v>
      </c>
    </row>
    <row r="1312" spans="1:9" x14ac:dyDescent="0.15">
      <c r="A1312" s="6">
        <v>1311</v>
      </c>
      <c r="B1312" s="7" t="s">
        <v>9</v>
      </c>
      <c r="C1312" s="8">
        <v>1883</v>
      </c>
      <c r="D1312" s="9">
        <v>45395</v>
      </c>
      <c r="E1312" s="13" t="str">
        <f>+HYPERLINK("http://trademark.i-assist.jp/data/china/image_1883th/76360610.pdf","76360610")</f>
        <v>76360610</v>
      </c>
      <c r="F1312" s="7" t="s">
        <v>3613</v>
      </c>
      <c r="G1312" s="7" t="s">
        <v>3614</v>
      </c>
      <c r="H1312" s="7" t="s">
        <v>3615</v>
      </c>
      <c r="I1312" s="9">
        <v>45303</v>
      </c>
    </row>
    <row r="1313" spans="1:9" x14ac:dyDescent="0.15">
      <c r="A1313" s="6">
        <v>1312</v>
      </c>
      <c r="B1313" s="7" t="s">
        <v>9</v>
      </c>
      <c r="C1313" s="8">
        <v>1883</v>
      </c>
      <c r="D1313" s="9">
        <v>45395</v>
      </c>
      <c r="E1313" s="13" t="str">
        <f>+HYPERLINK("http://trademark.i-assist.jp/data/china/image_1883th/76361089.pdf","76361089")</f>
        <v>76361089</v>
      </c>
      <c r="F1313" s="7" t="s">
        <v>3616</v>
      </c>
      <c r="G1313" s="7" t="s">
        <v>3486</v>
      </c>
      <c r="H1313" s="7" t="s">
        <v>3617</v>
      </c>
      <c r="I1313" s="9">
        <v>45303</v>
      </c>
    </row>
    <row r="1314" spans="1:9" x14ac:dyDescent="0.15">
      <c r="A1314" s="6">
        <v>1313</v>
      </c>
      <c r="B1314" s="7" t="s">
        <v>9</v>
      </c>
      <c r="C1314" s="8">
        <v>1883</v>
      </c>
      <c r="D1314" s="9">
        <v>45395</v>
      </c>
      <c r="E1314" s="13" t="str">
        <f>+HYPERLINK("http://trademark.i-assist.jp/data/china/image_1883th/76361466.pdf","76361466")</f>
        <v>76361466</v>
      </c>
      <c r="F1314" s="7" t="s">
        <v>3618</v>
      </c>
      <c r="G1314" s="7" t="s">
        <v>3549</v>
      </c>
      <c r="H1314" s="7" t="s">
        <v>3619</v>
      </c>
      <c r="I1314" s="9">
        <v>45303</v>
      </c>
    </row>
    <row r="1315" spans="1:9" x14ac:dyDescent="0.15">
      <c r="A1315" s="6">
        <v>1314</v>
      </c>
      <c r="B1315" s="7" t="s">
        <v>9</v>
      </c>
      <c r="C1315" s="8">
        <v>1883</v>
      </c>
      <c r="D1315" s="9">
        <v>45395</v>
      </c>
      <c r="E1315" s="13" t="str">
        <f>+HYPERLINK("http://trademark.i-assist.jp/data/china/image_1883th/76361620.pdf","76361620")</f>
        <v>76361620</v>
      </c>
      <c r="F1315" s="7" t="s">
        <v>3620</v>
      </c>
      <c r="G1315" s="7" t="s">
        <v>3621</v>
      </c>
      <c r="H1315" s="7" t="s">
        <v>3622</v>
      </c>
      <c r="I1315" s="9">
        <v>45303</v>
      </c>
    </row>
    <row r="1316" spans="1:9" x14ac:dyDescent="0.15">
      <c r="A1316" s="6">
        <v>1315</v>
      </c>
      <c r="B1316" s="7" t="s">
        <v>9</v>
      </c>
      <c r="C1316" s="8">
        <v>1883</v>
      </c>
      <c r="D1316" s="9">
        <v>45395</v>
      </c>
      <c r="E1316" s="13" t="str">
        <f>+HYPERLINK("http://trademark.i-assist.jp/data/china/image_1883th/76361667.pdf","76361667")</f>
        <v>76361667</v>
      </c>
      <c r="F1316" s="7" t="s">
        <v>3623</v>
      </c>
      <c r="G1316" s="7" t="s">
        <v>3624</v>
      </c>
      <c r="H1316" s="7" t="s">
        <v>3625</v>
      </c>
      <c r="I1316" s="9">
        <v>45303</v>
      </c>
    </row>
    <row r="1317" spans="1:9" x14ac:dyDescent="0.15">
      <c r="A1317" s="6">
        <v>1316</v>
      </c>
      <c r="B1317" s="7" t="s">
        <v>9</v>
      </c>
      <c r="C1317" s="8">
        <v>1883</v>
      </c>
      <c r="D1317" s="9">
        <v>45395</v>
      </c>
      <c r="E1317" s="13" t="str">
        <f>+HYPERLINK("http://trademark.i-assist.jp/data/china/image_1883th/76362155.pdf","76362155")</f>
        <v>76362155</v>
      </c>
      <c r="F1317" s="7" t="s">
        <v>3626</v>
      </c>
      <c r="G1317" s="7" t="s">
        <v>3567</v>
      </c>
      <c r="H1317" s="7" t="s">
        <v>3627</v>
      </c>
      <c r="I1317" s="9">
        <v>45303</v>
      </c>
    </row>
    <row r="1318" spans="1:9" x14ac:dyDescent="0.15">
      <c r="A1318" s="6">
        <v>1317</v>
      </c>
      <c r="B1318" s="7" t="s">
        <v>9</v>
      </c>
      <c r="C1318" s="8">
        <v>1883</v>
      </c>
      <c r="D1318" s="9">
        <v>45395</v>
      </c>
      <c r="E1318" s="13" t="str">
        <f>+HYPERLINK("http://trademark.i-assist.jp/data/china/image_1883th/76362248.pdf","76362248")</f>
        <v>76362248</v>
      </c>
      <c r="F1318" s="7" t="s">
        <v>3628</v>
      </c>
      <c r="G1318" s="7" t="s">
        <v>3629</v>
      </c>
      <c r="H1318" s="7" t="s">
        <v>3630</v>
      </c>
      <c r="I1318" s="9">
        <v>45303</v>
      </c>
    </row>
    <row r="1319" spans="1:9" x14ac:dyDescent="0.15">
      <c r="A1319" s="6">
        <v>1318</v>
      </c>
      <c r="B1319" s="7" t="s">
        <v>9</v>
      </c>
      <c r="C1319" s="8">
        <v>1883</v>
      </c>
      <c r="D1319" s="9">
        <v>45395</v>
      </c>
      <c r="E1319" s="13" t="str">
        <f>+HYPERLINK("http://trademark.i-assist.jp/data/china/image_1883th/76362287.pdf","76362287")</f>
        <v>76362287</v>
      </c>
      <c r="F1319" s="7" t="s">
        <v>3631</v>
      </c>
      <c r="G1319" s="7" t="s">
        <v>3632</v>
      </c>
      <c r="H1319" s="7" t="s">
        <v>3633</v>
      </c>
      <c r="I1319" s="9">
        <v>45303</v>
      </c>
    </row>
    <row r="1320" spans="1:9" ht="27" x14ac:dyDescent="0.15">
      <c r="A1320" s="6">
        <v>1319</v>
      </c>
      <c r="B1320" s="7" t="s">
        <v>9</v>
      </c>
      <c r="C1320" s="8">
        <v>1883</v>
      </c>
      <c r="D1320" s="9">
        <v>45395</v>
      </c>
      <c r="E1320" s="13" t="str">
        <f>+HYPERLINK("http://trademark.i-assist.jp/data/china/image_1883th/76362574.pdf","76362574")</f>
        <v>76362574</v>
      </c>
      <c r="F1320" s="7" t="s">
        <v>3634</v>
      </c>
      <c r="G1320" s="7" t="s">
        <v>3635</v>
      </c>
      <c r="H1320" s="7" t="s">
        <v>3636</v>
      </c>
      <c r="I1320" s="9">
        <v>45303</v>
      </c>
    </row>
    <row r="1321" spans="1:9" x14ac:dyDescent="0.15">
      <c r="A1321" s="6">
        <v>1320</v>
      </c>
      <c r="B1321" s="7" t="s">
        <v>9</v>
      </c>
      <c r="C1321" s="8">
        <v>1883</v>
      </c>
      <c r="D1321" s="9">
        <v>45395</v>
      </c>
      <c r="E1321" s="13" t="str">
        <f>+HYPERLINK("http://trademark.i-assist.jp/data/china/image_1883th/76362921.pdf","76362921")</f>
        <v>76362921</v>
      </c>
      <c r="F1321" s="7" t="s">
        <v>3637</v>
      </c>
      <c r="G1321" s="7" t="s">
        <v>3638</v>
      </c>
      <c r="H1321" s="7" t="s">
        <v>3639</v>
      </c>
      <c r="I1321" s="9">
        <v>45303</v>
      </c>
    </row>
    <row r="1322" spans="1:9" x14ac:dyDescent="0.15">
      <c r="A1322" s="6">
        <v>1321</v>
      </c>
      <c r="B1322" s="7" t="s">
        <v>9</v>
      </c>
      <c r="C1322" s="8">
        <v>1883</v>
      </c>
      <c r="D1322" s="9">
        <v>45395</v>
      </c>
      <c r="E1322" s="13" t="str">
        <f>+HYPERLINK("http://trademark.i-assist.jp/data/china/image_1883th/76362965.pdf","76362965")</f>
        <v>76362965</v>
      </c>
      <c r="F1322" s="7" t="s">
        <v>3640</v>
      </c>
      <c r="G1322" s="7" t="s">
        <v>3641</v>
      </c>
      <c r="H1322" s="7" t="s">
        <v>3642</v>
      </c>
      <c r="I1322" s="9">
        <v>45303</v>
      </c>
    </row>
    <row r="1323" spans="1:9" x14ac:dyDescent="0.15">
      <c r="A1323" s="6">
        <v>1322</v>
      </c>
      <c r="B1323" s="7" t="s">
        <v>9</v>
      </c>
      <c r="C1323" s="8">
        <v>1883</v>
      </c>
      <c r="D1323" s="9">
        <v>45395</v>
      </c>
      <c r="E1323" s="13" t="str">
        <f>+HYPERLINK("http://trademark.i-assist.jp/data/china/image_1883th/76362985.pdf","76362985")</f>
        <v>76362985</v>
      </c>
      <c r="F1323" s="7" t="s">
        <v>3643</v>
      </c>
      <c r="G1323" s="7" t="s">
        <v>3644</v>
      </c>
      <c r="H1323" s="7" t="s">
        <v>3645</v>
      </c>
      <c r="I1323" s="9">
        <v>45303</v>
      </c>
    </row>
    <row r="1324" spans="1:9" x14ac:dyDescent="0.15">
      <c r="A1324" s="6">
        <v>1323</v>
      </c>
      <c r="B1324" s="7" t="s">
        <v>9</v>
      </c>
      <c r="C1324" s="8">
        <v>1883</v>
      </c>
      <c r="D1324" s="9">
        <v>45395</v>
      </c>
      <c r="E1324" s="13" t="str">
        <f>+HYPERLINK("http://trademark.i-assist.jp/data/china/image_1883th/76363212.pdf","76363212")</f>
        <v>76363212</v>
      </c>
      <c r="F1324" s="7" t="s">
        <v>3646</v>
      </c>
      <c r="G1324" s="7" t="s">
        <v>3647</v>
      </c>
      <c r="H1324" s="7" t="s">
        <v>3648</v>
      </c>
      <c r="I1324" s="9">
        <v>45303</v>
      </c>
    </row>
    <row r="1325" spans="1:9" x14ac:dyDescent="0.15">
      <c r="A1325" s="6">
        <v>1324</v>
      </c>
      <c r="B1325" s="7" t="s">
        <v>9</v>
      </c>
      <c r="C1325" s="8">
        <v>1883</v>
      </c>
      <c r="D1325" s="9">
        <v>45395</v>
      </c>
      <c r="E1325" s="13" t="str">
        <f>+HYPERLINK("http://trademark.i-assist.jp/data/china/image_1883th/76363412.pdf","76363412")</f>
        <v>76363412</v>
      </c>
      <c r="F1325" s="7" t="s">
        <v>3649</v>
      </c>
      <c r="G1325" s="7" t="s">
        <v>3650</v>
      </c>
      <c r="H1325" s="7" t="s">
        <v>3651</v>
      </c>
      <c r="I1325" s="9">
        <v>45303</v>
      </c>
    </row>
    <row r="1326" spans="1:9" x14ac:dyDescent="0.15">
      <c r="A1326" s="6">
        <v>1325</v>
      </c>
      <c r="B1326" s="7" t="s">
        <v>9</v>
      </c>
      <c r="C1326" s="8">
        <v>1883</v>
      </c>
      <c r="D1326" s="9">
        <v>45395</v>
      </c>
      <c r="E1326" s="13" t="str">
        <f>+HYPERLINK("http://trademark.i-assist.jp/data/china/image_1883th/76363418.pdf","76363418")</f>
        <v>76363418</v>
      </c>
      <c r="F1326" s="7" t="s">
        <v>3652</v>
      </c>
      <c r="G1326" s="7" t="s">
        <v>3653</v>
      </c>
      <c r="H1326" s="7" t="s">
        <v>3654</v>
      </c>
      <c r="I1326" s="9">
        <v>45303</v>
      </c>
    </row>
    <row r="1327" spans="1:9" x14ac:dyDescent="0.15">
      <c r="A1327" s="6">
        <v>1326</v>
      </c>
      <c r="B1327" s="7" t="s">
        <v>9</v>
      </c>
      <c r="C1327" s="8">
        <v>1883</v>
      </c>
      <c r="D1327" s="9">
        <v>45395</v>
      </c>
      <c r="E1327" s="13" t="str">
        <f>+HYPERLINK("http://trademark.i-assist.jp/data/china/image_1883th/76364091.pdf","76364091")</f>
        <v>76364091</v>
      </c>
      <c r="F1327" s="7" t="s">
        <v>3655</v>
      </c>
      <c r="G1327" s="7" t="s">
        <v>3656</v>
      </c>
      <c r="H1327" s="7" t="s">
        <v>3657</v>
      </c>
      <c r="I1327" s="9">
        <v>45303</v>
      </c>
    </row>
    <row r="1328" spans="1:9" x14ac:dyDescent="0.15">
      <c r="A1328" s="6">
        <v>1327</v>
      </c>
      <c r="B1328" s="7" t="s">
        <v>9</v>
      </c>
      <c r="C1328" s="8">
        <v>1883</v>
      </c>
      <c r="D1328" s="9">
        <v>45395</v>
      </c>
      <c r="E1328" s="13" t="str">
        <f>+HYPERLINK("http://trademark.i-assist.jp/data/china/image_1883th/76364712.pdf","76364712")</f>
        <v>76364712</v>
      </c>
      <c r="F1328" s="7" t="s">
        <v>3658</v>
      </c>
      <c r="G1328" s="7" t="s">
        <v>3659</v>
      </c>
      <c r="H1328" s="7" t="s">
        <v>3660</v>
      </c>
      <c r="I1328" s="9">
        <v>45306</v>
      </c>
    </row>
    <row r="1329" spans="1:9" x14ac:dyDescent="0.15">
      <c r="A1329" s="6">
        <v>1328</v>
      </c>
      <c r="B1329" s="7" t="s">
        <v>9</v>
      </c>
      <c r="C1329" s="8">
        <v>1883</v>
      </c>
      <c r="D1329" s="9">
        <v>45395</v>
      </c>
      <c r="E1329" s="13" t="str">
        <f>+HYPERLINK("http://trademark.i-assist.jp/data/china/image_1883th/76364747.pdf","76364747")</f>
        <v>76364747</v>
      </c>
      <c r="F1329" s="7" t="s">
        <v>3661</v>
      </c>
      <c r="G1329" s="7" t="s">
        <v>3662</v>
      </c>
      <c r="H1329" s="7" t="s">
        <v>3663</v>
      </c>
      <c r="I1329" s="9">
        <v>45306</v>
      </c>
    </row>
    <row r="1330" spans="1:9" x14ac:dyDescent="0.15">
      <c r="A1330" s="6">
        <v>1329</v>
      </c>
      <c r="B1330" s="7" t="s">
        <v>9</v>
      </c>
      <c r="C1330" s="8">
        <v>1883</v>
      </c>
      <c r="D1330" s="9">
        <v>45395</v>
      </c>
      <c r="E1330" s="13" t="str">
        <f>+HYPERLINK("http://trademark.i-assist.jp/data/china/image_1883th/76364797.pdf","76364797")</f>
        <v>76364797</v>
      </c>
      <c r="F1330" s="7" t="s">
        <v>3664</v>
      </c>
      <c r="G1330" s="7" t="s">
        <v>3665</v>
      </c>
      <c r="H1330" s="7" t="s">
        <v>3666</v>
      </c>
      <c r="I1330" s="9">
        <v>45306</v>
      </c>
    </row>
    <row r="1331" spans="1:9" ht="27" x14ac:dyDescent="0.15">
      <c r="A1331" s="6">
        <v>1330</v>
      </c>
      <c r="B1331" s="7" t="s">
        <v>9</v>
      </c>
      <c r="C1331" s="8">
        <v>1883</v>
      </c>
      <c r="D1331" s="9">
        <v>45395</v>
      </c>
      <c r="E1331" s="13" t="str">
        <f>+HYPERLINK("http://trademark.i-assist.jp/data/china/image_1883th/76364851.pdf","76364851")</f>
        <v>76364851</v>
      </c>
      <c r="F1331" s="7" t="s">
        <v>3667</v>
      </c>
      <c r="G1331" s="7" t="s">
        <v>3668</v>
      </c>
      <c r="H1331" s="7" t="s">
        <v>3669</v>
      </c>
      <c r="I1331" s="9">
        <v>45306</v>
      </c>
    </row>
    <row r="1332" spans="1:9" ht="27" x14ac:dyDescent="0.15">
      <c r="A1332" s="6">
        <v>1331</v>
      </c>
      <c r="B1332" s="7" t="s">
        <v>9</v>
      </c>
      <c r="C1332" s="8">
        <v>1883</v>
      </c>
      <c r="D1332" s="9">
        <v>45395</v>
      </c>
      <c r="E1332" s="13" t="str">
        <f>+HYPERLINK("http://trademark.i-assist.jp/data/china/image_1883th/76364933.pdf","76364933")</f>
        <v>76364933</v>
      </c>
      <c r="F1332" s="7" t="s">
        <v>3670</v>
      </c>
      <c r="G1332" s="7" t="s">
        <v>3671</v>
      </c>
      <c r="H1332" s="7" t="s">
        <v>3672</v>
      </c>
      <c r="I1332" s="9">
        <v>45306</v>
      </c>
    </row>
    <row r="1333" spans="1:9" x14ac:dyDescent="0.15">
      <c r="A1333" s="6">
        <v>1332</v>
      </c>
      <c r="B1333" s="7" t="s">
        <v>9</v>
      </c>
      <c r="C1333" s="8">
        <v>1883</v>
      </c>
      <c r="D1333" s="9">
        <v>45395</v>
      </c>
      <c r="E1333" s="13" t="str">
        <f>+HYPERLINK("http://trademark.i-assist.jp/data/china/image_1883th/76364998.pdf","76364998")</f>
        <v>76364998</v>
      </c>
      <c r="F1333" s="7" t="s">
        <v>3673</v>
      </c>
      <c r="G1333" s="7" t="s">
        <v>3674</v>
      </c>
      <c r="H1333" s="7" t="s">
        <v>3675</v>
      </c>
      <c r="I1333" s="9">
        <v>45306</v>
      </c>
    </row>
    <row r="1334" spans="1:9" x14ac:dyDescent="0.15">
      <c r="A1334" s="6">
        <v>1333</v>
      </c>
      <c r="B1334" s="7" t="s">
        <v>9</v>
      </c>
      <c r="C1334" s="8">
        <v>1883</v>
      </c>
      <c r="D1334" s="9">
        <v>45395</v>
      </c>
      <c r="E1334" s="13" t="str">
        <f>+HYPERLINK("http://trademark.i-assist.jp/data/china/image_1883th/76365230.pdf","76365230")</f>
        <v>76365230</v>
      </c>
      <c r="F1334" s="7" t="s">
        <v>3676</v>
      </c>
      <c r="G1334" s="7" t="s">
        <v>3677</v>
      </c>
      <c r="H1334" s="7" t="s">
        <v>3678</v>
      </c>
      <c r="I1334" s="9">
        <v>45303</v>
      </c>
    </row>
    <row r="1335" spans="1:9" x14ac:dyDescent="0.15">
      <c r="A1335" s="6">
        <v>1334</v>
      </c>
      <c r="B1335" s="7" t="s">
        <v>9</v>
      </c>
      <c r="C1335" s="8">
        <v>1883</v>
      </c>
      <c r="D1335" s="9">
        <v>45395</v>
      </c>
      <c r="E1335" s="13" t="str">
        <f>+HYPERLINK("http://trademark.i-assist.jp/data/china/image_1883th/76365290.pdf","76365290")</f>
        <v>76365290</v>
      </c>
      <c r="F1335" s="7" t="s">
        <v>3679</v>
      </c>
      <c r="G1335" s="7" t="s">
        <v>3680</v>
      </c>
      <c r="H1335" s="7" t="s">
        <v>3681</v>
      </c>
      <c r="I1335" s="9">
        <v>45303</v>
      </c>
    </row>
    <row r="1336" spans="1:9" x14ac:dyDescent="0.15">
      <c r="A1336" s="6">
        <v>1335</v>
      </c>
      <c r="B1336" s="7" t="s">
        <v>9</v>
      </c>
      <c r="C1336" s="8">
        <v>1883</v>
      </c>
      <c r="D1336" s="9">
        <v>45395</v>
      </c>
      <c r="E1336" s="13" t="str">
        <f>+HYPERLINK("http://trademark.i-assist.jp/data/china/image_1883th/76365668.pdf","76365668")</f>
        <v>76365668</v>
      </c>
      <c r="F1336" s="7" t="s">
        <v>3682</v>
      </c>
      <c r="G1336" s="7" t="s">
        <v>3489</v>
      </c>
      <c r="H1336" s="7" t="s">
        <v>3683</v>
      </c>
      <c r="I1336" s="9">
        <v>45303</v>
      </c>
    </row>
    <row r="1337" spans="1:9" ht="27" x14ac:dyDescent="0.15">
      <c r="A1337" s="6">
        <v>1336</v>
      </c>
      <c r="B1337" s="7" t="s">
        <v>9</v>
      </c>
      <c r="C1337" s="8">
        <v>1883</v>
      </c>
      <c r="D1337" s="9">
        <v>45395</v>
      </c>
      <c r="E1337" s="13" t="str">
        <f>+HYPERLINK("http://trademark.i-assist.jp/data/china/image_1883th/76365804.pdf","76365804")</f>
        <v>76365804</v>
      </c>
      <c r="F1337" s="7" t="s">
        <v>3684</v>
      </c>
      <c r="G1337" s="7" t="s">
        <v>3685</v>
      </c>
      <c r="H1337" s="7" t="s">
        <v>3686</v>
      </c>
      <c r="I1337" s="9">
        <v>45303</v>
      </c>
    </row>
    <row r="1338" spans="1:9" x14ac:dyDescent="0.15">
      <c r="A1338" s="6">
        <v>1337</v>
      </c>
      <c r="B1338" s="7" t="s">
        <v>9</v>
      </c>
      <c r="C1338" s="8">
        <v>1883</v>
      </c>
      <c r="D1338" s="9">
        <v>45395</v>
      </c>
      <c r="E1338" s="13" t="str">
        <f>+HYPERLINK("http://trademark.i-assist.jp/data/china/image_1883th/76365825.pdf","76365825")</f>
        <v>76365825</v>
      </c>
      <c r="F1338" s="7" t="s">
        <v>3687</v>
      </c>
      <c r="G1338" s="7" t="s">
        <v>3688</v>
      </c>
      <c r="H1338" s="7" t="s">
        <v>3689</v>
      </c>
      <c r="I1338" s="9">
        <v>45303</v>
      </c>
    </row>
    <row r="1339" spans="1:9" x14ac:dyDescent="0.15">
      <c r="A1339" s="6">
        <v>1338</v>
      </c>
      <c r="B1339" s="7" t="s">
        <v>9</v>
      </c>
      <c r="C1339" s="8">
        <v>1883</v>
      </c>
      <c r="D1339" s="9">
        <v>45395</v>
      </c>
      <c r="E1339" s="13" t="str">
        <f>+HYPERLINK("http://trademark.i-assist.jp/data/china/image_1883th/76366163.pdf","76366163")</f>
        <v>76366163</v>
      </c>
      <c r="F1339" s="7" t="s">
        <v>3690</v>
      </c>
      <c r="G1339" s="7" t="s">
        <v>3624</v>
      </c>
      <c r="H1339" s="7" t="s">
        <v>3691</v>
      </c>
      <c r="I1339" s="9">
        <v>45303</v>
      </c>
    </row>
    <row r="1340" spans="1:9" x14ac:dyDescent="0.15">
      <c r="A1340" s="6">
        <v>1339</v>
      </c>
      <c r="B1340" s="7" t="s">
        <v>9</v>
      </c>
      <c r="C1340" s="8">
        <v>1883</v>
      </c>
      <c r="D1340" s="9">
        <v>45395</v>
      </c>
      <c r="E1340" s="13" t="str">
        <f>+HYPERLINK("http://trademark.i-assist.jp/data/china/image_1883th/76366201.pdf","76366201")</f>
        <v>76366201</v>
      </c>
      <c r="F1340" s="7" t="s">
        <v>3692</v>
      </c>
      <c r="G1340" s="7" t="s">
        <v>3693</v>
      </c>
      <c r="H1340" s="7" t="s">
        <v>3694</v>
      </c>
      <c r="I1340" s="9">
        <v>45306</v>
      </c>
    </row>
    <row r="1341" spans="1:9" x14ac:dyDescent="0.15">
      <c r="A1341" s="6">
        <v>1340</v>
      </c>
      <c r="B1341" s="7" t="s">
        <v>9</v>
      </c>
      <c r="C1341" s="8">
        <v>1883</v>
      </c>
      <c r="D1341" s="9">
        <v>45395</v>
      </c>
      <c r="E1341" s="13" t="str">
        <f>+HYPERLINK("http://trademark.i-assist.jp/data/china/image_1883th/76366268.pdf","76366268")</f>
        <v>76366268</v>
      </c>
      <c r="F1341" s="7" t="s">
        <v>3695</v>
      </c>
      <c r="G1341" s="7" t="s">
        <v>3696</v>
      </c>
      <c r="H1341" s="7" t="s">
        <v>3697</v>
      </c>
      <c r="I1341" s="9">
        <v>45306</v>
      </c>
    </row>
    <row r="1342" spans="1:9" x14ac:dyDescent="0.15">
      <c r="A1342" s="6">
        <v>1341</v>
      </c>
      <c r="B1342" s="7" t="s">
        <v>9</v>
      </c>
      <c r="C1342" s="8">
        <v>1883</v>
      </c>
      <c r="D1342" s="9">
        <v>45395</v>
      </c>
      <c r="E1342" s="13" t="str">
        <f>+HYPERLINK("http://trademark.i-assist.jp/data/china/image_1883th/76366454.pdf","76366454")</f>
        <v>76366454</v>
      </c>
      <c r="F1342" s="7" t="s">
        <v>3698</v>
      </c>
      <c r="G1342" s="7" t="s">
        <v>3699</v>
      </c>
      <c r="H1342" s="7" t="s">
        <v>3700</v>
      </c>
      <c r="I1342" s="9">
        <v>45306</v>
      </c>
    </row>
    <row r="1343" spans="1:9" x14ac:dyDescent="0.15">
      <c r="A1343" s="6">
        <v>1342</v>
      </c>
      <c r="B1343" s="7" t="s">
        <v>9</v>
      </c>
      <c r="C1343" s="8">
        <v>1883</v>
      </c>
      <c r="D1343" s="9">
        <v>45395</v>
      </c>
      <c r="E1343" s="13" t="str">
        <f>+HYPERLINK("http://trademark.i-assist.jp/data/china/image_1883th/76366863.pdf","76366863")</f>
        <v>76366863</v>
      </c>
      <c r="F1343" s="7" t="s">
        <v>3701</v>
      </c>
      <c r="G1343" s="7" t="s">
        <v>1855</v>
      </c>
      <c r="H1343" s="7" t="s">
        <v>3702</v>
      </c>
      <c r="I1343" s="9">
        <v>45303</v>
      </c>
    </row>
    <row r="1344" spans="1:9" ht="27" x14ac:dyDescent="0.15">
      <c r="A1344" s="6">
        <v>1343</v>
      </c>
      <c r="B1344" s="7" t="s">
        <v>9</v>
      </c>
      <c r="C1344" s="8">
        <v>1883</v>
      </c>
      <c r="D1344" s="9">
        <v>45395</v>
      </c>
      <c r="E1344" s="13" t="str">
        <f>+HYPERLINK("http://trademark.i-assist.jp/data/china/image_1883th/76366866.pdf","76366866")</f>
        <v>76366866</v>
      </c>
      <c r="F1344" s="7" t="s">
        <v>3703</v>
      </c>
      <c r="G1344" s="7" t="s">
        <v>3704</v>
      </c>
      <c r="H1344" s="7" t="s">
        <v>3705</v>
      </c>
      <c r="I1344" s="9">
        <v>45303</v>
      </c>
    </row>
    <row r="1345" spans="1:9" x14ac:dyDescent="0.15">
      <c r="A1345" s="6">
        <v>1344</v>
      </c>
      <c r="B1345" s="7" t="s">
        <v>9</v>
      </c>
      <c r="C1345" s="8">
        <v>1883</v>
      </c>
      <c r="D1345" s="9">
        <v>45395</v>
      </c>
      <c r="E1345" s="13" t="str">
        <f>+HYPERLINK("http://trademark.i-assist.jp/data/china/image_1883th/76366966.pdf","76366966")</f>
        <v>76366966</v>
      </c>
      <c r="F1345" s="7" t="s">
        <v>3706</v>
      </c>
      <c r="G1345" s="7" t="s">
        <v>3707</v>
      </c>
      <c r="H1345" s="7" t="s">
        <v>3708</v>
      </c>
      <c r="I1345" s="9">
        <v>45303</v>
      </c>
    </row>
    <row r="1346" spans="1:9" x14ac:dyDescent="0.15">
      <c r="A1346" s="6">
        <v>1345</v>
      </c>
      <c r="B1346" s="7" t="s">
        <v>9</v>
      </c>
      <c r="C1346" s="8">
        <v>1883</v>
      </c>
      <c r="D1346" s="9">
        <v>45395</v>
      </c>
      <c r="E1346" s="13" t="str">
        <f>+HYPERLINK("http://trademark.i-assist.jp/data/china/image_1883th/76367348.pdf","76367348")</f>
        <v>76367348</v>
      </c>
      <c r="F1346" s="7" t="s">
        <v>3709</v>
      </c>
      <c r="G1346" s="7" t="s">
        <v>3710</v>
      </c>
      <c r="H1346" s="7" t="s">
        <v>3711</v>
      </c>
      <c r="I1346" s="9">
        <v>45303</v>
      </c>
    </row>
    <row r="1347" spans="1:9" x14ac:dyDescent="0.15">
      <c r="A1347" s="6">
        <v>1346</v>
      </c>
      <c r="B1347" s="7" t="s">
        <v>9</v>
      </c>
      <c r="C1347" s="8">
        <v>1883</v>
      </c>
      <c r="D1347" s="9">
        <v>45395</v>
      </c>
      <c r="E1347" s="13" t="str">
        <f>+HYPERLINK("http://trademark.i-assist.jp/data/china/image_1883th/76367359.pdf","76367359")</f>
        <v>76367359</v>
      </c>
      <c r="F1347" s="7" t="s">
        <v>3712</v>
      </c>
      <c r="G1347" s="7" t="s">
        <v>3713</v>
      </c>
      <c r="H1347" s="7" t="s">
        <v>3714</v>
      </c>
      <c r="I1347" s="9">
        <v>45303</v>
      </c>
    </row>
    <row r="1348" spans="1:9" ht="27" x14ac:dyDescent="0.15">
      <c r="A1348" s="6">
        <v>1347</v>
      </c>
      <c r="B1348" s="7" t="s">
        <v>9</v>
      </c>
      <c r="C1348" s="8">
        <v>1883</v>
      </c>
      <c r="D1348" s="9">
        <v>45395</v>
      </c>
      <c r="E1348" s="13" t="str">
        <f>+HYPERLINK("http://trademark.i-assist.jp/data/china/image_1883th/76367403.pdf","76367403")</f>
        <v>76367403</v>
      </c>
      <c r="F1348" s="7" t="s">
        <v>3715</v>
      </c>
      <c r="G1348" s="7" t="s">
        <v>3716</v>
      </c>
      <c r="H1348" s="7" t="s">
        <v>3717</v>
      </c>
      <c r="I1348" s="9">
        <v>45303</v>
      </c>
    </row>
    <row r="1349" spans="1:9" x14ac:dyDescent="0.15">
      <c r="A1349" s="6">
        <v>1348</v>
      </c>
      <c r="B1349" s="7" t="s">
        <v>9</v>
      </c>
      <c r="C1349" s="8">
        <v>1883</v>
      </c>
      <c r="D1349" s="9">
        <v>45395</v>
      </c>
      <c r="E1349" s="13" t="str">
        <f>+HYPERLINK("http://trademark.i-assist.jp/data/china/image_1883th/76367508.pdf","76367508")</f>
        <v>76367508</v>
      </c>
      <c r="F1349" s="7" t="s">
        <v>3718</v>
      </c>
      <c r="G1349" s="7" t="s">
        <v>3428</v>
      </c>
      <c r="H1349" s="7" t="s">
        <v>3719</v>
      </c>
      <c r="I1349" s="9">
        <v>45303</v>
      </c>
    </row>
    <row r="1350" spans="1:9" x14ac:dyDescent="0.15">
      <c r="A1350" s="6">
        <v>1349</v>
      </c>
      <c r="B1350" s="7" t="s">
        <v>9</v>
      </c>
      <c r="C1350" s="8">
        <v>1883</v>
      </c>
      <c r="D1350" s="9">
        <v>45395</v>
      </c>
      <c r="E1350" s="13" t="str">
        <f>+HYPERLINK("http://trademark.i-assist.jp/data/china/image_1883th/76367829.pdf","76367829")</f>
        <v>76367829</v>
      </c>
      <c r="F1350" s="7" t="s">
        <v>3720</v>
      </c>
      <c r="G1350" s="7" t="s">
        <v>3428</v>
      </c>
      <c r="H1350" s="7" t="s">
        <v>3721</v>
      </c>
      <c r="I1350" s="9">
        <v>45303</v>
      </c>
    </row>
    <row r="1351" spans="1:9" ht="27" x14ac:dyDescent="0.15">
      <c r="A1351" s="6">
        <v>1350</v>
      </c>
      <c r="B1351" s="7" t="s">
        <v>9</v>
      </c>
      <c r="C1351" s="8">
        <v>1883</v>
      </c>
      <c r="D1351" s="9">
        <v>45395</v>
      </c>
      <c r="E1351" s="13" t="str">
        <f>+HYPERLINK("http://trademark.i-assist.jp/data/china/image_1883th/76368059.pdf","76368059")</f>
        <v>76368059</v>
      </c>
      <c r="F1351" s="7" t="s">
        <v>3722</v>
      </c>
      <c r="G1351" s="7" t="s">
        <v>3723</v>
      </c>
      <c r="H1351" s="7" t="s">
        <v>3724</v>
      </c>
      <c r="I1351" s="9">
        <v>45303</v>
      </c>
    </row>
    <row r="1352" spans="1:9" x14ac:dyDescent="0.15">
      <c r="A1352" s="6">
        <v>1351</v>
      </c>
      <c r="B1352" s="7" t="s">
        <v>9</v>
      </c>
      <c r="C1352" s="8">
        <v>1883</v>
      </c>
      <c r="D1352" s="9">
        <v>45395</v>
      </c>
      <c r="E1352" s="13" t="str">
        <f>+HYPERLINK("http://trademark.i-assist.jp/data/china/image_1883th/76368230.pdf","76368230")</f>
        <v>76368230</v>
      </c>
      <c r="F1352" s="7" t="s">
        <v>3725</v>
      </c>
      <c r="G1352" s="7" t="s">
        <v>3726</v>
      </c>
      <c r="H1352" s="7" t="s">
        <v>3727</v>
      </c>
      <c r="I1352" s="9">
        <v>45303</v>
      </c>
    </row>
    <row r="1353" spans="1:9" x14ac:dyDescent="0.15">
      <c r="A1353" s="6">
        <v>1352</v>
      </c>
      <c r="B1353" s="7" t="s">
        <v>9</v>
      </c>
      <c r="C1353" s="8">
        <v>1883</v>
      </c>
      <c r="D1353" s="9">
        <v>45395</v>
      </c>
      <c r="E1353" s="13" t="str">
        <f>+HYPERLINK("http://trademark.i-assist.jp/data/china/image_1883th/76368481.pdf","76368481")</f>
        <v>76368481</v>
      </c>
      <c r="F1353" s="7" t="s">
        <v>3728</v>
      </c>
      <c r="G1353" s="7" t="s">
        <v>3729</v>
      </c>
      <c r="H1353" s="7" t="s">
        <v>3730</v>
      </c>
      <c r="I1353" s="9">
        <v>45303</v>
      </c>
    </row>
    <row r="1354" spans="1:9" x14ac:dyDescent="0.15">
      <c r="A1354" s="6">
        <v>1353</v>
      </c>
      <c r="B1354" s="7" t="s">
        <v>9</v>
      </c>
      <c r="C1354" s="8">
        <v>1883</v>
      </c>
      <c r="D1354" s="9">
        <v>45395</v>
      </c>
      <c r="E1354" s="13" t="str">
        <f>+HYPERLINK("http://trademark.i-assist.jp/data/china/image_1883th/76368884.pdf","76368884")</f>
        <v>76368884</v>
      </c>
      <c r="F1354" s="7" t="s">
        <v>3731</v>
      </c>
      <c r="G1354" s="7" t="s">
        <v>3732</v>
      </c>
      <c r="H1354" s="7" t="s">
        <v>3733</v>
      </c>
      <c r="I1354" s="9">
        <v>45303</v>
      </c>
    </row>
    <row r="1355" spans="1:9" x14ac:dyDescent="0.15">
      <c r="A1355" s="6">
        <v>1354</v>
      </c>
      <c r="B1355" s="7" t="s">
        <v>9</v>
      </c>
      <c r="C1355" s="8">
        <v>1883</v>
      </c>
      <c r="D1355" s="9">
        <v>45395</v>
      </c>
      <c r="E1355" s="13" t="str">
        <f>+HYPERLINK("http://trademark.i-assist.jp/data/china/image_1883th/76369191.pdf","76369191")</f>
        <v>76369191</v>
      </c>
      <c r="F1355" s="7" t="s">
        <v>3734</v>
      </c>
      <c r="G1355" s="7" t="s">
        <v>3735</v>
      </c>
      <c r="H1355" s="7" t="s">
        <v>3736</v>
      </c>
      <c r="I1355" s="9">
        <v>45303</v>
      </c>
    </row>
    <row r="1356" spans="1:9" x14ac:dyDescent="0.15">
      <c r="A1356" s="6">
        <v>1355</v>
      </c>
      <c r="B1356" s="7" t="s">
        <v>9</v>
      </c>
      <c r="C1356" s="8">
        <v>1883</v>
      </c>
      <c r="D1356" s="9">
        <v>45395</v>
      </c>
      <c r="E1356" s="13" t="str">
        <f>+HYPERLINK("http://trademark.i-assist.jp/data/china/image_1883th/76369291.pdf","76369291")</f>
        <v>76369291</v>
      </c>
      <c r="F1356" s="7" t="s">
        <v>3737</v>
      </c>
      <c r="G1356" s="7" t="s">
        <v>3738</v>
      </c>
      <c r="H1356" s="7" t="s">
        <v>3739</v>
      </c>
      <c r="I1356" s="9">
        <v>45303</v>
      </c>
    </row>
    <row r="1357" spans="1:9" x14ac:dyDescent="0.15">
      <c r="A1357" s="6">
        <v>1356</v>
      </c>
      <c r="B1357" s="7" t="s">
        <v>9</v>
      </c>
      <c r="C1357" s="8">
        <v>1883</v>
      </c>
      <c r="D1357" s="9">
        <v>45395</v>
      </c>
      <c r="E1357" s="13" t="str">
        <f>+HYPERLINK("http://trademark.i-assist.jp/data/china/image_1883th/76369329.pdf","76369329")</f>
        <v>76369329</v>
      </c>
      <c r="F1357" s="7" t="s">
        <v>3740</v>
      </c>
      <c r="G1357" s="7" t="s">
        <v>3741</v>
      </c>
      <c r="H1357" s="7" t="s">
        <v>3742</v>
      </c>
      <c r="I1357" s="9">
        <v>45304</v>
      </c>
    </row>
    <row r="1358" spans="1:9" ht="27" x14ac:dyDescent="0.15">
      <c r="A1358" s="6">
        <v>1357</v>
      </c>
      <c r="B1358" s="7" t="s">
        <v>9</v>
      </c>
      <c r="C1358" s="8">
        <v>1883</v>
      </c>
      <c r="D1358" s="9">
        <v>45395</v>
      </c>
      <c r="E1358" s="13" t="str">
        <f>+HYPERLINK("http://trademark.i-assist.jp/data/china/image_1883th/76369755.pdf","76369755")</f>
        <v>76369755</v>
      </c>
      <c r="F1358" s="7" t="s">
        <v>3743</v>
      </c>
      <c r="G1358" s="7" t="s">
        <v>3744</v>
      </c>
      <c r="H1358" s="7" t="s">
        <v>3745</v>
      </c>
      <c r="I1358" s="9">
        <v>45304</v>
      </c>
    </row>
    <row r="1359" spans="1:9" ht="27" x14ac:dyDescent="0.15">
      <c r="A1359" s="6">
        <v>1358</v>
      </c>
      <c r="B1359" s="7" t="s">
        <v>9</v>
      </c>
      <c r="C1359" s="8">
        <v>1883</v>
      </c>
      <c r="D1359" s="9">
        <v>45395</v>
      </c>
      <c r="E1359" s="13" t="str">
        <f>+HYPERLINK("http://trademark.i-assist.jp/data/china/image_1883th/76369759.pdf","76369759")</f>
        <v>76369759</v>
      </c>
      <c r="F1359" s="7" t="s">
        <v>3746</v>
      </c>
      <c r="G1359" s="7" t="s">
        <v>3747</v>
      </c>
      <c r="H1359" s="7" t="s">
        <v>3748</v>
      </c>
      <c r="I1359" s="9">
        <v>45304</v>
      </c>
    </row>
    <row r="1360" spans="1:9" x14ac:dyDescent="0.15">
      <c r="A1360" s="6">
        <v>1359</v>
      </c>
      <c r="B1360" s="7" t="s">
        <v>9</v>
      </c>
      <c r="C1360" s="8">
        <v>1883</v>
      </c>
      <c r="D1360" s="9">
        <v>45395</v>
      </c>
      <c r="E1360" s="13" t="str">
        <f>+HYPERLINK("http://trademark.i-assist.jp/data/china/image_1883th/76369965.pdf","76369965")</f>
        <v>76369965</v>
      </c>
      <c r="F1360" s="7" t="s">
        <v>3749</v>
      </c>
      <c r="G1360" s="7" t="s">
        <v>3750</v>
      </c>
      <c r="H1360" s="7" t="s">
        <v>3751</v>
      </c>
      <c r="I1360" s="9">
        <v>45304</v>
      </c>
    </row>
    <row r="1361" spans="1:9" x14ac:dyDescent="0.15">
      <c r="A1361" s="6">
        <v>1360</v>
      </c>
      <c r="B1361" s="7" t="s">
        <v>9</v>
      </c>
      <c r="C1361" s="8">
        <v>1883</v>
      </c>
      <c r="D1361" s="9">
        <v>45395</v>
      </c>
      <c r="E1361" s="13" t="str">
        <f>+HYPERLINK("http://trademark.i-assist.jp/data/china/image_1883th/76369993.pdf","76369993")</f>
        <v>76369993</v>
      </c>
      <c r="F1361" s="7" t="s">
        <v>3752</v>
      </c>
      <c r="G1361" s="7" t="s">
        <v>3747</v>
      </c>
      <c r="H1361" s="7" t="s">
        <v>3753</v>
      </c>
      <c r="I1361" s="9">
        <v>45304</v>
      </c>
    </row>
    <row r="1362" spans="1:9" x14ac:dyDescent="0.15">
      <c r="A1362" s="6">
        <v>1361</v>
      </c>
      <c r="B1362" s="7" t="s">
        <v>9</v>
      </c>
      <c r="C1362" s="8">
        <v>1883</v>
      </c>
      <c r="D1362" s="9">
        <v>45395</v>
      </c>
      <c r="E1362" s="13" t="str">
        <f>+HYPERLINK("http://trademark.i-assist.jp/data/china/image_1883th/76370027.pdf","76370027")</f>
        <v>76370027</v>
      </c>
      <c r="F1362" s="7" t="s">
        <v>3754</v>
      </c>
      <c r="G1362" s="7" t="s">
        <v>124</v>
      </c>
      <c r="H1362" s="7" t="s">
        <v>3755</v>
      </c>
      <c r="I1362" s="9">
        <v>45304</v>
      </c>
    </row>
    <row r="1363" spans="1:9" x14ac:dyDescent="0.15">
      <c r="A1363" s="6">
        <v>1362</v>
      </c>
      <c r="B1363" s="7" t="s">
        <v>9</v>
      </c>
      <c r="C1363" s="8">
        <v>1883</v>
      </c>
      <c r="D1363" s="9">
        <v>45395</v>
      </c>
      <c r="E1363" s="13" t="str">
        <f>+HYPERLINK("http://trademark.i-assist.jp/data/china/image_1883th/76370394.pdf","76370394")</f>
        <v>76370394</v>
      </c>
      <c r="F1363" s="7" t="s">
        <v>3756</v>
      </c>
      <c r="G1363" s="7" t="s">
        <v>3757</v>
      </c>
      <c r="H1363" s="7" t="s">
        <v>3758</v>
      </c>
      <c r="I1363" s="9">
        <v>45304</v>
      </c>
    </row>
    <row r="1364" spans="1:9" x14ac:dyDescent="0.15">
      <c r="A1364" s="6">
        <v>1363</v>
      </c>
      <c r="B1364" s="7" t="s">
        <v>9</v>
      </c>
      <c r="C1364" s="8">
        <v>1883</v>
      </c>
      <c r="D1364" s="9">
        <v>45395</v>
      </c>
      <c r="E1364" s="13" t="str">
        <f>+HYPERLINK("http://trademark.i-assist.jp/data/china/image_1883th/76370635.pdf","76370635")</f>
        <v>76370635</v>
      </c>
      <c r="F1364" s="7" t="s">
        <v>3759</v>
      </c>
      <c r="G1364" s="7" t="s">
        <v>3760</v>
      </c>
      <c r="H1364" s="7" t="s">
        <v>3761</v>
      </c>
      <c r="I1364" s="9">
        <v>45304</v>
      </c>
    </row>
    <row r="1365" spans="1:9" x14ac:dyDescent="0.15">
      <c r="A1365" s="6">
        <v>1364</v>
      </c>
      <c r="B1365" s="7" t="s">
        <v>9</v>
      </c>
      <c r="C1365" s="8">
        <v>1883</v>
      </c>
      <c r="D1365" s="9">
        <v>45395</v>
      </c>
      <c r="E1365" s="13" t="str">
        <f>+HYPERLINK("http://trademark.i-assist.jp/data/china/image_1883th/76370714.pdf","76370714")</f>
        <v>76370714</v>
      </c>
      <c r="F1365" s="7" t="s">
        <v>3762</v>
      </c>
      <c r="G1365" s="7" t="s">
        <v>3763</v>
      </c>
      <c r="H1365" s="7" t="s">
        <v>3764</v>
      </c>
      <c r="I1365" s="9">
        <v>45304</v>
      </c>
    </row>
    <row r="1366" spans="1:9" x14ac:dyDescent="0.15">
      <c r="A1366" s="6">
        <v>1365</v>
      </c>
      <c r="B1366" s="7" t="s">
        <v>9</v>
      </c>
      <c r="C1366" s="8">
        <v>1883</v>
      </c>
      <c r="D1366" s="9">
        <v>45395</v>
      </c>
      <c r="E1366" s="13" t="str">
        <f>+HYPERLINK("http://trademark.i-assist.jp/data/china/image_1883th/76371509.pdf","76371509")</f>
        <v>76371509</v>
      </c>
      <c r="F1366" s="7" t="s">
        <v>3765</v>
      </c>
      <c r="G1366" s="7" t="s">
        <v>3766</v>
      </c>
      <c r="H1366" s="7" t="s">
        <v>3767</v>
      </c>
      <c r="I1366" s="9">
        <v>45304</v>
      </c>
    </row>
    <row r="1367" spans="1:9" ht="27" x14ac:dyDescent="0.15">
      <c r="A1367" s="6">
        <v>1366</v>
      </c>
      <c r="B1367" s="7" t="s">
        <v>9</v>
      </c>
      <c r="C1367" s="8">
        <v>1883</v>
      </c>
      <c r="D1367" s="9">
        <v>45395</v>
      </c>
      <c r="E1367" s="13" t="str">
        <f>+HYPERLINK("http://trademark.i-assist.jp/data/china/image_1883th/76371565.pdf","76371565")</f>
        <v>76371565</v>
      </c>
      <c r="F1367" s="7" t="s">
        <v>3768</v>
      </c>
      <c r="G1367" s="7" t="s">
        <v>3769</v>
      </c>
      <c r="H1367" s="7" t="s">
        <v>3770</v>
      </c>
      <c r="I1367" s="9">
        <v>45304</v>
      </c>
    </row>
    <row r="1368" spans="1:9" x14ac:dyDescent="0.15">
      <c r="A1368" s="6">
        <v>1367</v>
      </c>
      <c r="B1368" s="7" t="s">
        <v>9</v>
      </c>
      <c r="C1368" s="8">
        <v>1883</v>
      </c>
      <c r="D1368" s="9">
        <v>45395</v>
      </c>
      <c r="E1368" s="13" t="str">
        <f>+HYPERLINK("http://trademark.i-assist.jp/data/china/image_1883th/76371672.pdf","76371672")</f>
        <v>76371672</v>
      </c>
      <c r="F1368" s="7" t="s">
        <v>3771</v>
      </c>
      <c r="G1368" s="7" t="s">
        <v>124</v>
      </c>
      <c r="H1368" s="7" t="s">
        <v>3772</v>
      </c>
      <c r="I1368" s="9">
        <v>45304</v>
      </c>
    </row>
    <row r="1369" spans="1:9" x14ac:dyDescent="0.15">
      <c r="A1369" s="6">
        <v>1368</v>
      </c>
      <c r="B1369" s="7" t="s">
        <v>9</v>
      </c>
      <c r="C1369" s="8">
        <v>1883</v>
      </c>
      <c r="D1369" s="9">
        <v>45395</v>
      </c>
      <c r="E1369" s="13" t="str">
        <f>+HYPERLINK("http://trademark.i-assist.jp/data/china/image_1883th/76372180.pdf","76372180")</f>
        <v>76372180</v>
      </c>
      <c r="F1369" s="7" t="s">
        <v>3773</v>
      </c>
      <c r="G1369" s="7" t="s">
        <v>3504</v>
      </c>
      <c r="H1369" s="7" t="s">
        <v>3774</v>
      </c>
      <c r="I1369" s="9">
        <v>45304</v>
      </c>
    </row>
    <row r="1370" spans="1:9" x14ac:dyDescent="0.15">
      <c r="A1370" s="6">
        <v>1369</v>
      </c>
      <c r="B1370" s="7" t="s">
        <v>9</v>
      </c>
      <c r="C1370" s="8">
        <v>1883</v>
      </c>
      <c r="D1370" s="9">
        <v>45395</v>
      </c>
      <c r="E1370" s="13" t="str">
        <f>+HYPERLINK("http://trademark.i-assist.jp/data/china/image_1883th/76372441.pdf","76372441")</f>
        <v>76372441</v>
      </c>
      <c r="F1370" s="7" t="s">
        <v>3775</v>
      </c>
      <c r="G1370" s="7" t="s">
        <v>3776</v>
      </c>
      <c r="H1370" s="7" t="s">
        <v>3777</v>
      </c>
      <c r="I1370" s="9">
        <v>45304</v>
      </c>
    </row>
    <row r="1371" spans="1:9" ht="27" x14ac:dyDescent="0.15">
      <c r="A1371" s="6">
        <v>1370</v>
      </c>
      <c r="B1371" s="7" t="s">
        <v>9</v>
      </c>
      <c r="C1371" s="8">
        <v>1883</v>
      </c>
      <c r="D1371" s="9">
        <v>45395</v>
      </c>
      <c r="E1371" s="13" t="str">
        <f>+HYPERLINK("http://trademark.i-assist.jp/data/china/image_1883th/76372543.pdf","76372543")</f>
        <v>76372543</v>
      </c>
      <c r="F1371" s="7" t="s">
        <v>3778</v>
      </c>
      <c r="G1371" s="7" t="s">
        <v>3747</v>
      </c>
      <c r="H1371" s="7" t="s">
        <v>3779</v>
      </c>
      <c r="I1371" s="9">
        <v>45304</v>
      </c>
    </row>
    <row r="1372" spans="1:9" x14ac:dyDescent="0.15">
      <c r="A1372" s="6">
        <v>1371</v>
      </c>
      <c r="B1372" s="7" t="s">
        <v>9</v>
      </c>
      <c r="C1372" s="8">
        <v>1883</v>
      </c>
      <c r="D1372" s="9">
        <v>45395</v>
      </c>
      <c r="E1372" s="13" t="str">
        <f>+HYPERLINK("http://trademark.i-assist.jp/data/china/image_1883th/76372584.pdf","76372584")</f>
        <v>76372584</v>
      </c>
      <c r="F1372" s="7" t="s">
        <v>3780</v>
      </c>
      <c r="G1372" s="7" t="s">
        <v>3781</v>
      </c>
      <c r="H1372" s="7" t="s">
        <v>3782</v>
      </c>
      <c r="I1372" s="9">
        <v>45304</v>
      </c>
    </row>
    <row r="1373" spans="1:9" x14ac:dyDescent="0.15">
      <c r="A1373" s="6">
        <v>1372</v>
      </c>
      <c r="B1373" s="7" t="s">
        <v>9</v>
      </c>
      <c r="C1373" s="8">
        <v>1883</v>
      </c>
      <c r="D1373" s="9">
        <v>45395</v>
      </c>
      <c r="E1373" s="13" t="str">
        <f>+HYPERLINK("http://trademark.i-assist.jp/data/china/image_1883th/76372614.pdf","76372614")</f>
        <v>76372614</v>
      </c>
      <c r="F1373" s="7" t="s">
        <v>3783</v>
      </c>
      <c r="G1373" s="7" t="s">
        <v>3554</v>
      </c>
      <c r="H1373" s="7" t="s">
        <v>3784</v>
      </c>
      <c r="I1373" s="9">
        <v>45304</v>
      </c>
    </row>
    <row r="1374" spans="1:9" x14ac:dyDescent="0.15">
      <c r="A1374" s="6">
        <v>1373</v>
      </c>
      <c r="B1374" s="7" t="s">
        <v>9</v>
      </c>
      <c r="C1374" s="8">
        <v>1883</v>
      </c>
      <c r="D1374" s="9">
        <v>45395</v>
      </c>
      <c r="E1374" s="13" t="str">
        <f>+HYPERLINK("http://trademark.i-assist.jp/data/china/image_1883th/76372774.pdf","76372774")</f>
        <v>76372774</v>
      </c>
      <c r="F1374" s="7" t="s">
        <v>3785</v>
      </c>
      <c r="G1374" s="7" t="s">
        <v>3786</v>
      </c>
      <c r="H1374" s="7" t="s">
        <v>3787</v>
      </c>
      <c r="I1374" s="9">
        <v>45304</v>
      </c>
    </row>
    <row r="1375" spans="1:9" x14ac:dyDescent="0.15">
      <c r="A1375" s="6">
        <v>1374</v>
      </c>
      <c r="B1375" s="7" t="s">
        <v>9</v>
      </c>
      <c r="C1375" s="8">
        <v>1883</v>
      </c>
      <c r="D1375" s="9">
        <v>45395</v>
      </c>
      <c r="E1375" s="13" t="str">
        <f>+HYPERLINK("http://trademark.i-assist.jp/data/china/image_1883th/76373069.pdf","76373069")</f>
        <v>76373069</v>
      </c>
      <c r="F1375" s="7" t="s">
        <v>3788</v>
      </c>
      <c r="G1375" s="7" t="s">
        <v>3789</v>
      </c>
      <c r="H1375" s="7" t="s">
        <v>3790</v>
      </c>
      <c r="I1375" s="9">
        <v>45304</v>
      </c>
    </row>
    <row r="1376" spans="1:9" x14ac:dyDescent="0.15">
      <c r="A1376" s="6">
        <v>1375</v>
      </c>
      <c r="B1376" s="7" t="s">
        <v>9</v>
      </c>
      <c r="C1376" s="8">
        <v>1883</v>
      </c>
      <c r="D1376" s="9">
        <v>45395</v>
      </c>
      <c r="E1376" s="13" t="str">
        <f>+HYPERLINK("http://trademark.i-assist.jp/data/china/image_1883th/76373546.pdf","76373546")</f>
        <v>76373546</v>
      </c>
      <c r="F1376" s="7" t="s">
        <v>3791</v>
      </c>
      <c r="G1376" s="7" t="s">
        <v>3792</v>
      </c>
      <c r="H1376" s="7" t="s">
        <v>3793</v>
      </c>
      <c r="I1376" s="9">
        <v>45304</v>
      </c>
    </row>
    <row r="1377" spans="1:9" ht="27" x14ac:dyDescent="0.15">
      <c r="A1377" s="6">
        <v>1376</v>
      </c>
      <c r="B1377" s="7" t="s">
        <v>9</v>
      </c>
      <c r="C1377" s="8">
        <v>1883</v>
      </c>
      <c r="D1377" s="9">
        <v>45395</v>
      </c>
      <c r="E1377" s="13" t="str">
        <f>+HYPERLINK("http://trademark.i-assist.jp/data/china/image_1883th/76373673.pdf","76373673")</f>
        <v>76373673</v>
      </c>
      <c r="F1377" s="7" t="s">
        <v>3794</v>
      </c>
      <c r="G1377" s="7" t="s">
        <v>3795</v>
      </c>
      <c r="H1377" s="7" t="s">
        <v>3796</v>
      </c>
      <c r="I1377" s="9">
        <v>45304</v>
      </c>
    </row>
    <row r="1378" spans="1:9" ht="27" x14ac:dyDescent="0.15">
      <c r="A1378" s="6">
        <v>1377</v>
      </c>
      <c r="B1378" s="7" t="s">
        <v>9</v>
      </c>
      <c r="C1378" s="8">
        <v>1883</v>
      </c>
      <c r="D1378" s="9">
        <v>45395</v>
      </c>
      <c r="E1378" s="13" t="str">
        <f>+HYPERLINK("http://trademark.i-assist.jp/data/china/image_1883th/76373903.pdf","76373903")</f>
        <v>76373903</v>
      </c>
      <c r="F1378" s="7" t="s">
        <v>3797</v>
      </c>
      <c r="G1378" s="7" t="s">
        <v>3747</v>
      </c>
      <c r="H1378" s="7" t="s">
        <v>3798</v>
      </c>
      <c r="I1378" s="9">
        <v>45304</v>
      </c>
    </row>
    <row r="1379" spans="1:9" x14ac:dyDescent="0.15">
      <c r="A1379" s="6">
        <v>1378</v>
      </c>
      <c r="B1379" s="7" t="s">
        <v>9</v>
      </c>
      <c r="C1379" s="8">
        <v>1883</v>
      </c>
      <c r="D1379" s="9">
        <v>45395</v>
      </c>
      <c r="E1379" s="13" t="str">
        <f>+HYPERLINK("http://trademark.i-assist.jp/data/china/image_1883th/76374089.pdf","76374089")</f>
        <v>76374089</v>
      </c>
      <c r="F1379" s="7" t="s">
        <v>3799</v>
      </c>
      <c r="G1379" s="7" t="s">
        <v>3504</v>
      </c>
      <c r="H1379" s="7" t="s">
        <v>3800</v>
      </c>
      <c r="I1379" s="9">
        <v>45304</v>
      </c>
    </row>
    <row r="1380" spans="1:9" x14ac:dyDescent="0.15">
      <c r="A1380" s="6">
        <v>1379</v>
      </c>
      <c r="B1380" s="7" t="s">
        <v>9</v>
      </c>
      <c r="C1380" s="8">
        <v>1883</v>
      </c>
      <c r="D1380" s="9">
        <v>45395</v>
      </c>
      <c r="E1380" s="13" t="str">
        <f>+HYPERLINK("http://trademark.i-assist.jp/data/china/image_1883th/76374241.pdf","76374241")</f>
        <v>76374241</v>
      </c>
      <c r="F1380" s="7" t="s">
        <v>3801</v>
      </c>
      <c r="G1380" s="7" t="s">
        <v>3802</v>
      </c>
      <c r="H1380" s="7" t="s">
        <v>3803</v>
      </c>
      <c r="I1380" s="9">
        <v>45304</v>
      </c>
    </row>
    <row r="1381" spans="1:9" x14ac:dyDescent="0.15">
      <c r="A1381" s="6">
        <v>1380</v>
      </c>
      <c r="B1381" s="7" t="s">
        <v>9</v>
      </c>
      <c r="C1381" s="8">
        <v>1883</v>
      </c>
      <c r="D1381" s="9">
        <v>45395</v>
      </c>
      <c r="E1381" s="13" t="str">
        <f>+HYPERLINK("http://trademark.i-assist.jp/data/china/image_1883th/76374442.pdf","76374442")</f>
        <v>76374442</v>
      </c>
      <c r="F1381" s="7" t="s">
        <v>3804</v>
      </c>
      <c r="G1381" s="7" t="s">
        <v>3805</v>
      </c>
      <c r="H1381" s="7" t="s">
        <v>3806</v>
      </c>
      <c r="I1381" s="9">
        <v>45303</v>
      </c>
    </row>
    <row r="1382" spans="1:9" x14ac:dyDescent="0.15">
      <c r="A1382" s="6">
        <v>1381</v>
      </c>
      <c r="B1382" s="7" t="s">
        <v>9</v>
      </c>
      <c r="C1382" s="8">
        <v>1883</v>
      </c>
      <c r="D1382" s="9">
        <v>45395</v>
      </c>
      <c r="E1382" s="13" t="str">
        <f>+HYPERLINK("http://trademark.i-assist.jp/data/china/image_1883th/76374443.pdf","76374443")</f>
        <v>76374443</v>
      </c>
      <c r="F1382" s="7" t="s">
        <v>3807</v>
      </c>
      <c r="G1382" s="7" t="s">
        <v>3808</v>
      </c>
      <c r="H1382" s="7" t="s">
        <v>3809</v>
      </c>
      <c r="I1382" s="9">
        <v>45303</v>
      </c>
    </row>
    <row r="1383" spans="1:9" ht="27" x14ac:dyDescent="0.15">
      <c r="A1383" s="6">
        <v>1382</v>
      </c>
      <c r="B1383" s="7" t="s">
        <v>9</v>
      </c>
      <c r="C1383" s="8">
        <v>1883</v>
      </c>
      <c r="D1383" s="9">
        <v>45395</v>
      </c>
      <c r="E1383" s="13" t="str">
        <f>+HYPERLINK("http://trademark.i-assist.jp/data/china/image_1883th/76374482.pdf","76374482")</f>
        <v>76374482</v>
      </c>
      <c r="F1383" s="7" t="s">
        <v>3810</v>
      </c>
      <c r="G1383" s="7" t="s">
        <v>3811</v>
      </c>
      <c r="H1383" s="7" t="s">
        <v>3812</v>
      </c>
      <c r="I1383" s="9">
        <v>45303</v>
      </c>
    </row>
    <row r="1384" spans="1:9" x14ac:dyDescent="0.15">
      <c r="A1384" s="6">
        <v>1383</v>
      </c>
      <c r="B1384" s="7" t="s">
        <v>9</v>
      </c>
      <c r="C1384" s="8">
        <v>1883</v>
      </c>
      <c r="D1384" s="9">
        <v>45395</v>
      </c>
      <c r="E1384" s="13" t="str">
        <f>+HYPERLINK("http://trademark.i-assist.jp/data/china/image_1883th/76374977.pdf","76374977")</f>
        <v>76374977</v>
      </c>
      <c r="F1384" s="7" t="s">
        <v>3813</v>
      </c>
      <c r="G1384" s="7" t="s">
        <v>908</v>
      </c>
      <c r="H1384" s="7" t="s">
        <v>3814</v>
      </c>
      <c r="I1384" s="9">
        <v>45303</v>
      </c>
    </row>
    <row r="1385" spans="1:9" x14ac:dyDescent="0.15">
      <c r="A1385" s="6">
        <v>1384</v>
      </c>
      <c r="B1385" s="7" t="s">
        <v>9</v>
      </c>
      <c r="C1385" s="8">
        <v>1883</v>
      </c>
      <c r="D1385" s="9">
        <v>45395</v>
      </c>
      <c r="E1385" s="13" t="str">
        <f>+HYPERLINK("http://trademark.i-assist.jp/data/china/image_1883th/76374997.pdf","76374997")</f>
        <v>76374997</v>
      </c>
      <c r="F1385" s="7" t="s">
        <v>3815</v>
      </c>
      <c r="G1385" s="7" t="s">
        <v>3816</v>
      </c>
      <c r="H1385" s="7" t="s">
        <v>3817</v>
      </c>
      <c r="I1385" s="9">
        <v>45303</v>
      </c>
    </row>
    <row r="1386" spans="1:9" x14ac:dyDescent="0.15">
      <c r="A1386" s="6">
        <v>1385</v>
      </c>
      <c r="B1386" s="7" t="s">
        <v>9</v>
      </c>
      <c r="C1386" s="8">
        <v>1883</v>
      </c>
      <c r="D1386" s="9">
        <v>45395</v>
      </c>
      <c r="E1386" s="13" t="str">
        <f>+HYPERLINK("http://trademark.i-assist.jp/data/china/image_1883th/76375029.pdf","76375029")</f>
        <v>76375029</v>
      </c>
      <c r="F1386" s="7" t="s">
        <v>3818</v>
      </c>
      <c r="G1386" s="7" t="s">
        <v>3819</v>
      </c>
      <c r="H1386" s="7" t="s">
        <v>3820</v>
      </c>
      <c r="I1386" s="9">
        <v>45303</v>
      </c>
    </row>
    <row r="1387" spans="1:9" x14ac:dyDescent="0.15">
      <c r="A1387" s="6">
        <v>1386</v>
      </c>
      <c r="B1387" s="7" t="s">
        <v>9</v>
      </c>
      <c r="C1387" s="8">
        <v>1883</v>
      </c>
      <c r="D1387" s="9">
        <v>45395</v>
      </c>
      <c r="E1387" s="13" t="str">
        <f>+HYPERLINK("http://trademark.i-assist.jp/data/china/image_1883th/76375265.pdf","76375265")</f>
        <v>76375265</v>
      </c>
      <c r="F1387" s="7" t="s">
        <v>3821</v>
      </c>
      <c r="G1387" s="7" t="s">
        <v>3822</v>
      </c>
      <c r="H1387" s="7" t="s">
        <v>3823</v>
      </c>
      <c r="I1387" s="9">
        <v>45304</v>
      </c>
    </row>
    <row r="1388" spans="1:9" ht="27" x14ac:dyDescent="0.15">
      <c r="A1388" s="6">
        <v>1387</v>
      </c>
      <c r="B1388" s="7" t="s">
        <v>9</v>
      </c>
      <c r="C1388" s="8">
        <v>1883</v>
      </c>
      <c r="D1388" s="9">
        <v>45395</v>
      </c>
      <c r="E1388" s="13" t="str">
        <f>+HYPERLINK("http://trademark.i-assist.jp/data/china/image_1883th/76375467.pdf","76375467")</f>
        <v>76375467</v>
      </c>
      <c r="F1388" s="7" t="s">
        <v>3824</v>
      </c>
      <c r="G1388" s="7" t="s">
        <v>3825</v>
      </c>
      <c r="H1388" s="7" t="s">
        <v>3826</v>
      </c>
      <c r="I1388" s="9">
        <v>45304</v>
      </c>
    </row>
    <row r="1389" spans="1:9" ht="27" x14ac:dyDescent="0.15">
      <c r="A1389" s="6">
        <v>1388</v>
      </c>
      <c r="B1389" s="7" t="s">
        <v>9</v>
      </c>
      <c r="C1389" s="8">
        <v>1883</v>
      </c>
      <c r="D1389" s="9">
        <v>45395</v>
      </c>
      <c r="E1389" s="13" t="str">
        <f>+HYPERLINK("http://trademark.i-assist.jp/data/china/image_1883th/76375590.pdf","76375590")</f>
        <v>76375590</v>
      </c>
      <c r="F1389" s="7" t="s">
        <v>3827</v>
      </c>
      <c r="G1389" s="7" t="s">
        <v>3747</v>
      </c>
      <c r="H1389" s="7" t="s">
        <v>3828</v>
      </c>
      <c r="I1389" s="9">
        <v>45304</v>
      </c>
    </row>
    <row r="1390" spans="1:9" x14ac:dyDescent="0.15">
      <c r="A1390" s="6">
        <v>1389</v>
      </c>
      <c r="B1390" s="7" t="s">
        <v>9</v>
      </c>
      <c r="C1390" s="8">
        <v>1883</v>
      </c>
      <c r="D1390" s="9">
        <v>45395</v>
      </c>
      <c r="E1390" s="13" t="str">
        <f>+HYPERLINK("http://trademark.i-assist.jp/data/china/image_1883th/76375602.pdf","76375602")</f>
        <v>76375602</v>
      </c>
      <c r="F1390" s="7" t="s">
        <v>3829</v>
      </c>
      <c r="G1390" s="7" t="s">
        <v>124</v>
      </c>
      <c r="H1390" s="7" t="s">
        <v>3830</v>
      </c>
      <c r="I1390" s="9">
        <v>45304</v>
      </c>
    </row>
    <row r="1391" spans="1:9" x14ac:dyDescent="0.15">
      <c r="A1391" s="6">
        <v>1390</v>
      </c>
      <c r="B1391" s="7" t="s">
        <v>9</v>
      </c>
      <c r="C1391" s="8">
        <v>1883</v>
      </c>
      <c r="D1391" s="9">
        <v>45395</v>
      </c>
      <c r="E1391" s="13" t="str">
        <f>+HYPERLINK("http://trademark.i-assist.jp/data/china/image_1883th/76375609.pdf","76375609")</f>
        <v>76375609</v>
      </c>
      <c r="F1391" s="7" t="s">
        <v>3831</v>
      </c>
      <c r="G1391" s="7" t="s">
        <v>124</v>
      </c>
      <c r="H1391" s="7" t="s">
        <v>3832</v>
      </c>
      <c r="I1391" s="9">
        <v>45304</v>
      </c>
    </row>
    <row r="1392" spans="1:9" x14ac:dyDescent="0.15">
      <c r="A1392" s="6">
        <v>1391</v>
      </c>
      <c r="B1392" s="7" t="s">
        <v>9</v>
      </c>
      <c r="C1392" s="8">
        <v>1883</v>
      </c>
      <c r="D1392" s="9">
        <v>45395</v>
      </c>
      <c r="E1392" s="13" t="str">
        <f>+HYPERLINK("http://trademark.i-assist.jp/data/china/image_1883th/76375625.pdf","76375625")</f>
        <v>76375625</v>
      </c>
      <c r="F1392" s="7" t="s">
        <v>3833</v>
      </c>
      <c r="G1392" s="7" t="s">
        <v>3834</v>
      </c>
      <c r="H1392" s="7" t="s">
        <v>3835</v>
      </c>
      <c r="I1392" s="9">
        <v>45304</v>
      </c>
    </row>
    <row r="1393" spans="1:9" x14ac:dyDescent="0.15">
      <c r="A1393" s="6">
        <v>1392</v>
      </c>
      <c r="B1393" s="7" t="s">
        <v>9</v>
      </c>
      <c r="C1393" s="8">
        <v>1883</v>
      </c>
      <c r="D1393" s="9">
        <v>45395</v>
      </c>
      <c r="E1393" s="13" t="str">
        <f>+HYPERLINK("http://trademark.i-assist.jp/data/china/image_1883th/76375811.pdf","76375811")</f>
        <v>76375811</v>
      </c>
      <c r="F1393" s="7" t="s">
        <v>3836</v>
      </c>
      <c r="G1393" s="7" t="s">
        <v>3837</v>
      </c>
      <c r="H1393" s="7" t="s">
        <v>3838</v>
      </c>
      <c r="I1393" s="9">
        <v>45305</v>
      </c>
    </row>
    <row r="1394" spans="1:9" x14ac:dyDescent="0.15">
      <c r="A1394" s="6">
        <v>1393</v>
      </c>
      <c r="B1394" s="7" t="s">
        <v>9</v>
      </c>
      <c r="C1394" s="8">
        <v>1883</v>
      </c>
      <c r="D1394" s="9">
        <v>45395</v>
      </c>
      <c r="E1394" s="13" t="str">
        <f>+HYPERLINK("http://trademark.i-assist.jp/data/china/image_1883th/76375886.pdf","76375886")</f>
        <v>76375886</v>
      </c>
      <c r="F1394" s="7" t="s">
        <v>3839</v>
      </c>
      <c r="G1394" s="7" t="s">
        <v>1789</v>
      </c>
      <c r="H1394" s="7" t="s">
        <v>3840</v>
      </c>
      <c r="I1394" s="9">
        <v>45305</v>
      </c>
    </row>
    <row r="1395" spans="1:9" x14ac:dyDescent="0.15">
      <c r="A1395" s="6">
        <v>1394</v>
      </c>
      <c r="B1395" s="7" t="s">
        <v>9</v>
      </c>
      <c r="C1395" s="8">
        <v>1883</v>
      </c>
      <c r="D1395" s="9">
        <v>45395</v>
      </c>
      <c r="E1395" s="13" t="str">
        <f>+HYPERLINK("http://trademark.i-assist.jp/data/china/image_1883th/76375902.pdf","76375902")</f>
        <v>76375902</v>
      </c>
      <c r="F1395" s="7" t="s">
        <v>3841</v>
      </c>
      <c r="G1395" s="7" t="s">
        <v>3842</v>
      </c>
      <c r="H1395" s="7" t="s">
        <v>3843</v>
      </c>
      <c r="I1395" s="9">
        <v>45305</v>
      </c>
    </row>
    <row r="1396" spans="1:9" ht="27" x14ac:dyDescent="0.15">
      <c r="A1396" s="6">
        <v>1395</v>
      </c>
      <c r="B1396" s="7" t="s">
        <v>9</v>
      </c>
      <c r="C1396" s="8">
        <v>1883</v>
      </c>
      <c r="D1396" s="9">
        <v>45395</v>
      </c>
      <c r="E1396" s="13" t="str">
        <f>+HYPERLINK("http://trademark.i-assist.jp/data/china/image_1883th/76375970.pdf","76375970")</f>
        <v>76375970</v>
      </c>
      <c r="F1396" s="7" t="s">
        <v>3844</v>
      </c>
      <c r="G1396" s="7" t="s">
        <v>3845</v>
      </c>
      <c r="H1396" s="7" t="s">
        <v>3846</v>
      </c>
      <c r="I1396" s="9">
        <v>45305</v>
      </c>
    </row>
    <row r="1397" spans="1:9" x14ac:dyDescent="0.15">
      <c r="A1397" s="6">
        <v>1396</v>
      </c>
      <c r="B1397" s="7" t="s">
        <v>9</v>
      </c>
      <c r="C1397" s="8">
        <v>1883</v>
      </c>
      <c r="D1397" s="9">
        <v>45395</v>
      </c>
      <c r="E1397" s="13" t="str">
        <f>+HYPERLINK("http://trademark.i-assist.jp/data/china/image_1883th/76375984.pdf","76375984")</f>
        <v>76375984</v>
      </c>
      <c r="F1397" s="7" t="s">
        <v>3847</v>
      </c>
      <c r="G1397" s="7" t="s">
        <v>3848</v>
      </c>
      <c r="H1397" s="7" t="s">
        <v>3849</v>
      </c>
      <c r="I1397" s="9">
        <v>45305</v>
      </c>
    </row>
    <row r="1398" spans="1:9" x14ac:dyDescent="0.15">
      <c r="A1398" s="6">
        <v>1397</v>
      </c>
      <c r="B1398" s="7" t="s">
        <v>9</v>
      </c>
      <c r="C1398" s="8">
        <v>1883</v>
      </c>
      <c r="D1398" s="9">
        <v>45395</v>
      </c>
      <c r="E1398" s="13" t="str">
        <f>+HYPERLINK("http://trademark.i-assist.jp/data/china/image_1883th/76375985.pdf","76375985")</f>
        <v>76375985</v>
      </c>
      <c r="F1398" s="7" t="s">
        <v>3850</v>
      </c>
      <c r="G1398" s="7" t="s">
        <v>3848</v>
      </c>
      <c r="H1398" s="7" t="s">
        <v>3851</v>
      </c>
      <c r="I1398" s="9">
        <v>45305</v>
      </c>
    </row>
    <row r="1399" spans="1:9" x14ac:dyDescent="0.15">
      <c r="A1399" s="6">
        <v>1398</v>
      </c>
      <c r="B1399" s="7" t="s">
        <v>9</v>
      </c>
      <c r="C1399" s="8">
        <v>1883</v>
      </c>
      <c r="D1399" s="9">
        <v>45395</v>
      </c>
      <c r="E1399" s="13" t="str">
        <f>+HYPERLINK("http://trademark.i-assist.jp/data/china/image_1883th/76376250.pdf","76376250")</f>
        <v>76376250</v>
      </c>
      <c r="F1399" s="7" t="s">
        <v>3852</v>
      </c>
      <c r="G1399" s="7" t="s">
        <v>3853</v>
      </c>
      <c r="H1399" s="7" t="s">
        <v>3854</v>
      </c>
      <c r="I1399" s="9">
        <v>45305</v>
      </c>
    </row>
    <row r="1400" spans="1:9" ht="27" x14ac:dyDescent="0.15">
      <c r="A1400" s="6">
        <v>1399</v>
      </c>
      <c r="B1400" s="7" t="s">
        <v>9</v>
      </c>
      <c r="C1400" s="8">
        <v>1883</v>
      </c>
      <c r="D1400" s="9">
        <v>45395</v>
      </c>
      <c r="E1400" s="13" t="str">
        <f>+HYPERLINK("http://trademark.i-assist.jp/data/china/image_1883th/76376426.pdf","76376426")</f>
        <v>76376426</v>
      </c>
      <c r="F1400" s="7" t="s">
        <v>3855</v>
      </c>
      <c r="G1400" s="7" t="s">
        <v>3856</v>
      </c>
      <c r="H1400" s="7" t="s">
        <v>3857</v>
      </c>
      <c r="I1400" s="9">
        <v>45305</v>
      </c>
    </row>
    <row r="1401" spans="1:9" x14ac:dyDescent="0.15">
      <c r="A1401" s="6">
        <v>1400</v>
      </c>
      <c r="B1401" s="7" t="s">
        <v>9</v>
      </c>
      <c r="C1401" s="8">
        <v>1883</v>
      </c>
      <c r="D1401" s="9">
        <v>45395</v>
      </c>
      <c r="E1401" s="13" t="str">
        <f>+HYPERLINK("http://trademark.i-assist.jp/data/china/image_1883th/76376435.pdf","76376435")</f>
        <v>76376435</v>
      </c>
      <c r="F1401" s="7" t="s">
        <v>57</v>
      </c>
      <c r="G1401" s="7" t="s">
        <v>3858</v>
      </c>
      <c r="H1401" s="7" t="s">
        <v>3859</v>
      </c>
      <c r="I1401" s="9">
        <v>45305</v>
      </c>
    </row>
    <row r="1402" spans="1:9" x14ac:dyDescent="0.15">
      <c r="A1402" s="6">
        <v>1401</v>
      </c>
      <c r="B1402" s="7" t="s">
        <v>9</v>
      </c>
      <c r="C1402" s="8">
        <v>1883</v>
      </c>
      <c r="D1402" s="9">
        <v>45395</v>
      </c>
      <c r="E1402" s="13" t="str">
        <f>+HYPERLINK("http://trademark.i-assist.jp/data/china/image_1883th/76376478.pdf","76376478")</f>
        <v>76376478</v>
      </c>
      <c r="F1402" s="7" t="s">
        <v>3860</v>
      </c>
      <c r="G1402" s="7" t="s">
        <v>3861</v>
      </c>
      <c r="H1402" s="7" t="s">
        <v>3862</v>
      </c>
      <c r="I1402" s="9">
        <v>45305</v>
      </c>
    </row>
    <row r="1403" spans="1:9" x14ac:dyDescent="0.15">
      <c r="A1403" s="6">
        <v>1402</v>
      </c>
      <c r="B1403" s="7" t="s">
        <v>9</v>
      </c>
      <c r="C1403" s="8">
        <v>1883</v>
      </c>
      <c r="D1403" s="9">
        <v>45395</v>
      </c>
      <c r="E1403" s="13" t="str">
        <f>+HYPERLINK("http://trademark.i-assist.jp/data/china/image_1883th/76376591.pdf","76376591")</f>
        <v>76376591</v>
      </c>
      <c r="F1403" s="7" t="s">
        <v>3863</v>
      </c>
      <c r="G1403" s="7" t="s">
        <v>3864</v>
      </c>
      <c r="H1403" s="7" t="s">
        <v>3865</v>
      </c>
      <c r="I1403" s="9">
        <v>45305</v>
      </c>
    </row>
    <row r="1404" spans="1:9" x14ac:dyDescent="0.15">
      <c r="A1404" s="6">
        <v>1403</v>
      </c>
      <c r="B1404" s="7" t="s">
        <v>9</v>
      </c>
      <c r="C1404" s="8">
        <v>1883</v>
      </c>
      <c r="D1404" s="9">
        <v>45395</v>
      </c>
      <c r="E1404" s="13" t="str">
        <f>+HYPERLINK("http://trademark.i-assist.jp/data/china/image_1883th/76376637.pdf","76376637")</f>
        <v>76376637</v>
      </c>
      <c r="F1404" s="7" t="s">
        <v>3866</v>
      </c>
      <c r="G1404" s="7" t="s">
        <v>3867</v>
      </c>
      <c r="H1404" s="7" t="s">
        <v>3868</v>
      </c>
      <c r="I1404" s="9">
        <v>45305</v>
      </c>
    </row>
    <row r="1405" spans="1:9" x14ac:dyDescent="0.15">
      <c r="A1405" s="6">
        <v>1404</v>
      </c>
      <c r="B1405" s="7" t="s">
        <v>9</v>
      </c>
      <c r="C1405" s="8">
        <v>1883</v>
      </c>
      <c r="D1405" s="9">
        <v>45395</v>
      </c>
      <c r="E1405" s="13" t="str">
        <f>+HYPERLINK("http://trademark.i-assist.jp/data/china/image_1883th/76376781.pdf","76376781")</f>
        <v>76376781</v>
      </c>
      <c r="F1405" s="7" t="s">
        <v>3869</v>
      </c>
      <c r="G1405" s="7" t="s">
        <v>3870</v>
      </c>
      <c r="H1405" s="7" t="s">
        <v>3871</v>
      </c>
      <c r="I1405" s="9">
        <v>45305</v>
      </c>
    </row>
    <row r="1406" spans="1:9" x14ac:dyDescent="0.15">
      <c r="A1406" s="6">
        <v>1405</v>
      </c>
      <c r="B1406" s="7" t="s">
        <v>9</v>
      </c>
      <c r="C1406" s="8">
        <v>1883</v>
      </c>
      <c r="D1406" s="9">
        <v>45395</v>
      </c>
      <c r="E1406" s="13" t="str">
        <f>+HYPERLINK("http://trademark.i-assist.jp/data/china/image_1883th/76377114.pdf","76377114")</f>
        <v>76377114</v>
      </c>
      <c r="F1406" s="7" t="s">
        <v>3872</v>
      </c>
      <c r="G1406" s="7" t="s">
        <v>3873</v>
      </c>
      <c r="H1406" s="7" t="s">
        <v>3874</v>
      </c>
      <c r="I1406" s="9">
        <v>45305</v>
      </c>
    </row>
    <row r="1407" spans="1:9" ht="27" x14ac:dyDescent="0.15">
      <c r="A1407" s="6">
        <v>1406</v>
      </c>
      <c r="B1407" s="7" t="s">
        <v>9</v>
      </c>
      <c r="C1407" s="8">
        <v>1883</v>
      </c>
      <c r="D1407" s="9">
        <v>45395</v>
      </c>
      <c r="E1407" s="13" t="str">
        <f>+HYPERLINK("http://trademark.i-assist.jp/data/china/image_1883th/76377192.pdf","76377192")</f>
        <v>76377192</v>
      </c>
      <c r="F1407" s="7" t="s">
        <v>3875</v>
      </c>
      <c r="G1407" s="7" t="s">
        <v>3861</v>
      </c>
      <c r="H1407" s="7" t="s">
        <v>3876</v>
      </c>
      <c r="I1407" s="9">
        <v>45305</v>
      </c>
    </row>
    <row r="1408" spans="1:9" x14ac:dyDescent="0.15">
      <c r="A1408" s="6">
        <v>1407</v>
      </c>
      <c r="B1408" s="7" t="s">
        <v>9</v>
      </c>
      <c r="C1408" s="8">
        <v>1883</v>
      </c>
      <c r="D1408" s="9">
        <v>45395</v>
      </c>
      <c r="E1408" s="13" t="str">
        <f>+HYPERLINK("http://trademark.i-assist.jp/data/china/image_1883th/76377337.pdf","76377337")</f>
        <v>76377337</v>
      </c>
      <c r="F1408" s="7" t="s">
        <v>3877</v>
      </c>
      <c r="G1408" s="7" t="s">
        <v>3878</v>
      </c>
      <c r="H1408" s="7" t="s">
        <v>3879</v>
      </c>
      <c r="I1408" s="9">
        <v>45305</v>
      </c>
    </row>
    <row r="1409" spans="1:9" x14ac:dyDescent="0.15">
      <c r="A1409" s="6">
        <v>1408</v>
      </c>
      <c r="B1409" s="7" t="s">
        <v>9</v>
      </c>
      <c r="C1409" s="8">
        <v>1883</v>
      </c>
      <c r="D1409" s="9">
        <v>45395</v>
      </c>
      <c r="E1409" s="13" t="str">
        <f>+HYPERLINK("http://trademark.i-assist.jp/data/china/image_1883th/76377459.pdf","76377459")</f>
        <v>76377459</v>
      </c>
      <c r="F1409" s="7" t="s">
        <v>3880</v>
      </c>
      <c r="G1409" s="7" t="s">
        <v>3881</v>
      </c>
      <c r="H1409" s="7" t="s">
        <v>3882</v>
      </c>
      <c r="I1409" s="9">
        <v>45305</v>
      </c>
    </row>
    <row r="1410" spans="1:9" x14ac:dyDescent="0.15">
      <c r="A1410" s="6">
        <v>1409</v>
      </c>
      <c r="B1410" s="7" t="s">
        <v>9</v>
      </c>
      <c r="C1410" s="8">
        <v>1883</v>
      </c>
      <c r="D1410" s="9">
        <v>45395</v>
      </c>
      <c r="E1410" s="13" t="str">
        <f>+HYPERLINK("http://trademark.i-assist.jp/data/china/image_1883th/76378150.pdf","76378150")</f>
        <v>76378150</v>
      </c>
      <c r="F1410" s="7" t="s">
        <v>3883</v>
      </c>
      <c r="G1410" s="7" t="s">
        <v>3884</v>
      </c>
      <c r="H1410" s="7" t="s">
        <v>3885</v>
      </c>
      <c r="I1410" s="9">
        <v>45305</v>
      </c>
    </row>
    <row r="1411" spans="1:9" x14ac:dyDescent="0.15">
      <c r="A1411" s="6">
        <v>1410</v>
      </c>
      <c r="B1411" s="7" t="s">
        <v>9</v>
      </c>
      <c r="C1411" s="8">
        <v>1883</v>
      </c>
      <c r="D1411" s="9">
        <v>45395</v>
      </c>
      <c r="E1411" s="13" t="str">
        <f>+HYPERLINK("http://trademark.i-assist.jp/data/china/image_1883th/76378637.pdf","76378637")</f>
        <v>76378637</v>
      </c>
      <c r="F1411" s="7" t="s">
        <v>3886</v>
      </c>
      <c r="G1411" s="7" t="s">
        <v>3887</v>
      </c>
      <c r="H1411" s="7" t="s">
        <v>3888</v>
      </c>
      <c r="I1411" s="9">
        <v>45303</v>
      </c>
    </row>
    <row r="1412" spans="1:9" x14ac:dyDescent="0.15">
      <c r="A1412" s="6">
        <v>1411</v>
      </c>
      <c r="B1412" s="7" t="s">
        <v>9</v>
      </c>
      <c r="C1412" s="8">
        <v>1883</v>
      </c>
      <c r="D1412" s="9">
        <v>45395</v>
      </c>
      <c r="E1412" s="13" t="str">
        <f>+HYPERLINK("http://trademark.i-assist.jp/data/china/image_1883th/76378956.pdf","76378956")</f>
        <v>76378956</v>
      </c>
      <c r="F1412" s="7" t="s">
        <v>3889</v>
      </c>
      <c r="G1412" s="7" t="s">
        <v>3858</v>
      </c>
      <c r="H1412" s="7" t="s">
        <v>3890</v>
      </c>
      <c r="I1412" s="9">
        <v>45305</v>
      </c>
    </row>
    <row r="1413" spans="1:9" x14ac:dyDescent="0.15">
      <c r="A1413" s="6">
        <v>1412</v>
      </c>
      <c r="B1413" s="7" t="s">
        <v>9</v>
      </c>
      <c r="C1413" s="8">
        <v>1883</v>
      </c>
      <c r="D1413" s="9">
        <v>45395</v>
      </c>
      <c r="E1413" s="13" t="str">
        <f>+HYPERLINK("http://trademark.i-assist.jp/data/china/image_1883th/76378965.pdf","76378965")</f>
        <v>76378965</v>
      </c>
      <c r="F1413" s="7" t="s">
        <v>3891</v>
      </c>
      <c r="G1413" s="7" t="s">
        <v>3892</v>
      </c>
      <c r="H1413" s="7" t="s">
        <v>3893</v>
      </c>
      <c r="I1413" s="9">
        <v>45305</v>
      </c>
    </row>
    <row r="1414" spans="1:9" x14ac:dyDescent="0.15">
      <c r="A1414" s="6">
        <v>1413</v>
      </c>
      <c r="B1414" s="7" t="s">
        <v>9</v>
      </c>
      <c r="C1414" s="8">
        <v>1883</v>
      </c>
      <c r="D1414" s="9">
        <v>45395</v>
      </c>
      <c r="E1414" s="13" t="str">
        <f>+HYPERLINK("http://trademark.i-assist.jp/data/china/image_1883th/76379321.pdf","76379321")</f>
        <v>76379321</v>
      </c>
      <c r="F1414" s="7" t="s">
        <v>3894</v>
      </c>
      <c r="G1414" s="7" t="s">
        <v>3895</v>
      </c>
      <c r="H1414" s="7" t="s">
        <v>3896</v>
      </c>
      <c r="I1414" s="9">
        <v>45306</v>
      </c>
    </row>
    <row r="1415" spans="1:9" x14ac:dyDescent="0.15">
      <c r="A1415" s="6">
        <v>1414</v>
      </c>
      <c r="B1415" s="7" t="s">
        <v>9</v>
      </c>
      <c r="C1415" s="8">
        <v>1883</v>
      </c>
      <c r="D1415" s="9">
        <v>45395</v>
      </c>
      <c r="E1415" s="13" t="str">
        <f>+HYPERLINK("http://trademark.i-assist.jp/data/china/image_1883th/76379327.pdf","76379327")</f>
        <v>76379327</v>
      </c>
      <c r="F1415" s="7" t="s">
        <v>3897</v>
      </c>
      <c r="G1415" s="7" t="s">
        <v>3898</v>
      </c>
      <c r="H1415" s="7" t="s">
        <v>3899</v>
      </c>
      <c r="I1415" s="9">
        <v>45306</v>
      </c>
    </row>
    <row r="1416" spans="1:9" x14ac:dyDescent="0.15">
      <c r="A1416" s="6">
        <v>1415</v>
      </c>
      <c r="B1416" s="7" t="s">
        <v>9</v>
      </c>
      <c r="C1416" s="8">
        <v>1883</v>
      </c>
      <c r="D1416" s="9">
        <v>45395</v>
      </c>
      <c r="E1416" s="13" t="str">
        <f>+HYPERLINK("http://trademark.i-assist.jp/data/china/image_1883th/76379334.pdf","76379334")</f>
        <v>76379334</v>
      </c>
      <c r="F1416" s="7" t="s">
        <v>3900</v>
      </c>
      <c r="G1416" s="7" t="s">
        <v>3898</v>
      </c>
      <c r="H1416" s="7" t="s">
        <v>3901</v>
      </c>
      <c r="I1416" s="9">
        <v>45306</v>
      </c>
    </row>
    <row r="1417" spans="1:9" x14ac:dyDescent="0.15">
      <c r="A1417" s="6">
        <v>1416</v>
      </c>
      <c r="B1417" s="7" t="s">
        <v>9</v>
      </c>
      <c r="C1417" s="8">
        <v>1883</v>
      </c>
      <c r="D1417" s="9">
        <v>45395</v>
      </c>
      <c r="E1417" s="13" t="str">
        <f>+HYPERLINK("http://trademark.i-assist.jp/data/china/image_1883th/76379631.pdf","76379631")</f>
        <v>76379631</v>
      </c>
      <c r="F1417" s="7" t="s">
        <v>3902</v>
      </c>
      <c r="G1417" s="7" t="s">
        <v>3903</v>
      </c>
      <c r="H1417" s="7" t="s">
        <v>3904</v>
      </c>
      <c r="I1417" s="9">
        <v>45306</v>
      </c>
    </row>
    <row r="1418" spans="1:9" x14ac:dyDescent="0.15">
      <c r="A1418" s="6">
        <v>1417</v>
      </c>
      <c r="B1418" s="7" t="s">
        <v>9</v>
      </c>
      <c r="C1418" s="8">
        <v>1883</v>
      </c>
      <c r="D1418" s="9">
        <v>45395</v>
      </c>
      <c r="E1418" s="13" t="str">
        <f>+HYPERLINK("http://trademark.i-assist.jp/data/china/image_1883th/76379779.pdf","76379779")</f>
        <v>76379779</v>
      </c>
      <c r="F1418" s="7" t="s">
        <v>3905</v>
      </c>
      <c r="G1418" s="7" t="s">
        <v>3906</v>
      </c>
      <c r="H1418" s="7" t="s">
        <v>3907</v>
      </c>
      <c r="I1418" s="9">
        <v>45306</v>
      </c>
    </row>
    <row r="1419" spans="1:9" x14ac:dyDescent="0.15">
      <c r="A1419" s="6">
        <v>1418</v>
      </c>
      <c r="B1419" s="7" t="s">
        <v>9</v>
      </c>
      <c r="C1419" s="8">
        <v>1883</v>
      </c>
      <c r="D1419" s="9">
        <v>45395</v>
      </c>
      <c r="E1419" s="13" t="str">
        <f>+HYPERLINK("http://trademark.i-assist.jp/data/china/image_1883th/76379812.pdf","76379812")</f>
        <v>76379812</v>
      </c>
      <c r="F1419" s="7" t="s">
        <v>3908</v>
      </c>
      <c r="G1419" s="7" t="s">
        <v>3906</v>
      </c>
      <c r="H1419" s="7" t="s">
        <v>3909</v>
      </c>
      <c r="I1419" s="9">
        <v>45306</v>
      </c>
    </row>
    <row r="1420" spans="1:9" ht="27" x14ac:dyDescent="0.15">
      <c r="A1420" s="6">
        <v>1419</v>
      </c>
      <c r="B1420" s="7" t="s">
        <v>9</v>
      </c>
      <c r="C1420" s="8">
        <v>1883</v>
      </c>
      <c r="D1420" s="9">
        <v>45395</v>
      </c>
      <c r="E1420" s="13" t="str">
        <f>+HYPERLINK("http://trademark.i-assist.jp/data/china/image_1883th/76379995.pdf","76379995")</f>
        <v>76379995</v>
      </c>
      <c r="F1420" s="7" t="s">
        <v>3910</v>
      </c>
      <c r="G1420" s="7" t="s">
        <v>3911</v>
      </c>
      <c r="H1420" s="7" t="s">
        <v>3912</v>
      </c>
      <c r="I1420" s="9">
        <v>45306</v>
      </c>
    </row>
    <row r="1421" spans="1:9" x14ac:dyDescent="0.15">
      <c r="A1421" s="6">
        <v>1420</v>
      </c>
      <c r="B1421" s="7" t="s">
        <v>9</v>
      </c>
      <c r="C1421" s="8">
        <v>1883</v>
      </c>
      <c r="D1421" s="9">
        <v>45395</v>
      </c>
      <c r="E1421" s="13" t="str">
        <f>+HYPERLINK("http://trademark.i-assist.jp/data/china/image_1883th/76380154.pdf","76380154")</f>
        <v>76380154</v>
      </c>
      <c r="F1421" s="7" t="s">
        <v>3913</v>
      </c>
      <c r="G1421" s="7" t="s">
        <v>3906</v>
      </c>
      <c r="H1421" s="7" t="s">
        <v>3914</v>
      </c>
      <c r="I1421" s="9">
        <v>45306</v>
      </c>
    </row>
    <row r="1422" spans="1:9" x14ac:dyDescent="0.15">
      <c r="A1422" s="6">
        <v>1421</v>
      </c>
      <c r="B1422" s="7" t="s">
        <v>9</v>
      </c>
      <c r="C1422" s="8">
        <v>1883</v>
      </c>
      <c r="D1422" s="9">
        <v>45395</v>
      </c>
      <c r="E1422" s="13" t="str">
        <f>+HYPERLINK("http://trademark.i-assist.jp/data/china/image_1883th/76380159.pdf","76380159")</f>
        <v>76380159</v>
      </c>
      <c r="F1422" s="7" t="s">
        <v>3915</v>
      </c>
      <c r="G1422" s="7" t="s">
        <v>3906</v>
      </c>
      <c r="H1422" s="7" t="s">
        <v>3916</v>
      </c>
      <c r="I1422" s="9">
        <v>45306</v>
      </c>
    </row>
    <row r="1423" spans="1:9" x14ac:dyDescent="0.15">
      <c r="A1423" s="6">
        <v>1422</v>
      </c>
      <c r="B1423" s="7" t="s">
        <v>9</v>
      </c>
      <c r="C1423" s="8">
        <v>1883</v>
      </c>
      <c r="D1423" s="9">
        <v>45395</v>
      </c>
      <c r="E1423" s="13" t="str">
        <f>+HYPERLINK("http://trademark.i-assist.jp/data/china/image_1883th/76380349.pdf","76380349")</f>
        <v>76380349</v>
      </c>
      <c r="F1423" s="7" t="s">
        <v>3917</v>
      </c>
      <c r="G1423" s="7" t="s">
        <v>3918</v>
      </c>
      <c r="H1423" s="7" t="s">
        <v>3919</v>
      </c>
      <c r="I1423" s="9">
        <v>45306</v>
      </c>
    </row>
    <row r="1424" spans="1:9" x14ac:dyDescent="0.15">
      <c r="A1424" s="6">
        <v>1423</v>
      </c>
      <c r="B1424" s="7" t="s">
        <v>9</v>
      </c>
      <c r="C1424" s="8">
        <v>1883</v>
      </c>
      <c r="D1424" s="9">
        <v>45395</v>
      </c>
      <c r="E1424" s="13" t="str">
        <f>+HYPERLINK("http://trademark.i-assist.jp/data/china/image_1883th/76380407.pdf","76380407")</f>
        <v>76380407</v>
      </c>
      <c r="F1424" s="7" t="s">
        <v>3920</v>
      </c>
      <c r="G1424" s="7" t="s">
        <v>3921</v>
      </c>
      <c r="H1424" s="7" t="s">
        <v>3922</v>
      </c>
      <c r="I1424" s="9">
        <v>45306</v>
      </c>
    </row>
    <row r="1425" spans="1:9" x14ac:dyDescent="0.15">
      <c r="A1425" s="6">
        <v>1424</v>
      </c>
      <c r="B1425" s="7" t="s">
        <v>9</v>
      </c>
      <c r="C1425" s="8">
        <v>1883</v>
      </c>
      <c r="D1425" s="9">
        <v>45395</v>
      </c>
      <c r="E1425" s="13" t="str">
        <f>+HYPERLINK("http://trademark.i-assist.jp/data/china/image_1883th/76380601.pdf","76380601")</f>
        <v>76380601</v>
      </c>
      <c r="F1425" s="7" t="s">
        <v>3923</v>
      </c>
      <c r="G1425" s="7" t="s">
        <v>3924</v>
      </c>
      <c r="H1425" s="7" t="s">
        <v>3925</v>
      </c>
      <c r="I1425" s="9">
        <v>45306</v>
      </c>
    </row>
    <row r="1426" spans="1:9" x14ac:dyDescent="0.15">
      <c r="A1426" s="6">
        <v>1425</v>
      </c>
      <c r="B1426" s="7" t="s">
        <v>9</v>
      </c>
      <c r="C1426" s="8">
        <v>1883</v>
      </c>
      <c r="D1426" s="9">
        <v>45395</v>
      </c>
      <c r="E1426" s="13" t="str">
        <f>+HYPERLINK("http://trademark.i-assist.jp/data/china/image_1883th/76380792.pdf","76380792")</f>
        <v>76380792</v>
      </c>
      <c r="F1426" s="7" t="s">
        <v>3926</v>
      </c>
      <c r="G1426" s="7" t="s">
        <v>3927</v>
      </c>
      <c r="H1426" s="7" t="s">
        <v>3928</v>
      </c>
      <c r="I1426" s="9">
        <v>45306</v>
      </c>
    </row>
    <row r="1427" spans="1:9" x14ac:dyDescent="0.15">
      <c r="A1427" s="6">
        <v>1426</v>
      </c>
      <c r="B1427" s="7" t="s">
        <v>9</v>
      </c>
      <c r="C1427" s="8">
        <v>1883</v>
      </c>
      <c r="D1427" s="9">
        <v>45395</v>
      </c>
      <c r="E1427" s="13" t="str">
        <f>+HYPERLINK("http://trademark.i-assist.jp/data/china/image_1883th/76380907.pdf","76380907")</f>
        <v>76380907</v>
      </c>
      <c r="F1427" s="7" t="s">
        <v>3929</v>
      </c>
      <c r="G1427" s="7" t="s">
        <v>3930</v>
      </c>
      <c r="H1427" s="7" t="s">
        <v>3931</v>
      </c>
      <c r="I1427" s="9">
        <v>45306</v>
      </c>
    </row>
    <row r="1428" spans="1:9" x14ac:dyDescent="0.15">
      <c r="A1428" s="6">
        <v>1427</v>
      </c>
      <c r="B1428" s="7" t="s">
        <v>9</v>
      </c>
      <c r="C1428" s="8">
        <v>1883</v>
      </c>
      <c r="D1428" s="9">
        <v>45395</v>
      </c>
      <c r="E1428" s="13" t="str">
        <f>+HYPERLINK("http://trademark.i-assist.jp/data/china/image_1883th/76381002.pdf","76381002")</f>
        <v>76381002</v>
      </c>
      <c r="F1428" s="7" t="s">
        <v>3932</v>
      </c>
      <c r="G1428" s="7" t="s">
        <v>3933</v>
      </c>
      <c r="H1428" s="7" t="s">
        <v>3934</v>
      </c>
      <c r="I1428" s="9">
        <v>45306</v>
      </c>
    </row>
    <row r="1429" spans="1:9" ht="27" x14ac:dyDescent="0.15">
      <c r="A1429" s="6">
        <v>1428</v>
      </c>
      <c r="B1429" s="7" t="s">
        <v>9</v>
      </c>
      <c r="C1429" s="8">
        <v>1883</v>
      </c>
      <c r="D1429" s="9">
        <v>45395</v>
      </c>
      <c r="E1429" s="13" t="str">
        <f>+HYPERLINK("http://trademark.i-assist.jp/data/china/image_1883th/76382065.pdf","76382065")</f>
        <v>76382065</v>
      </c>
      <c r="F1429" s="7" t="s">
        <v>3935</v>
      </c>
      <c r="G1429" s="7" t="s">
        <v>3936</v>
      </c>
      <c r="H1429" s="7" t="s">
        <v>3937</v>
      </c>
      <c r="I1429" s="9">
        <v>45306</v>
      </c>
    </row>
    <row r="1430" spans="1:9" x14ac:dyDescent="0.15">
      <c r="A1430" s="6">
        <v>1429</v>
      </c>
      <c r="B1430" s="7" t="s">
        <v>9</v>
      </c>
      <c r="C1430" s="8">
        <v>1883</v>
      </c>
      <c r="D1430" s="9">
        <v>45395</v>
      </c>
      <c r="E1430" s="13" t="str">
        <f>+HYPERLINK("http://trademark.i-assist.jp/data/china/image_1883th/76382328.pdf","76382328")</f>
        <v>76382328</v>
      </c>
      <c r="F1430" s="7" t="s">
        <v>57</v>
      </c>
      <c r="G1430" s="7" t="s">
        <v>3927</v>
      </c>
      <c r="H1430" s="7" t="s">
        <v>3938</v>
      </c>
      <c r="I1430" s="9">
        <v>45306</v>
      </c>
    </row>
    <row r="1431" spans="1:9" x14ac:dyDescent="0.15">
      <c r="A1431" s="6">
        <v>1430</v>
      </c>
      <c r="B1431" s="7" t="s">
        <v>9</v>
      </c>
      <c r="C1431" s="8">
        <v>1883</v>
      </c>
      <c r="D1431" s="9">
        <v>45395</v>
      </c>
      <c r="E1431" s="13" t="str">
        <f>+HYPERLINK("http://trademark.i-assist.jp/data/china/image_1883th/76382342.pdf","76382342")</f>
        <v>76382342</v>
      </c>
      <c r="F1431" s="7" t="s">
        <v>3939</v>
      </c>
      <c r="G1431" s="7" t="s">
        <v>3940</v>
      </c>
      <c r="H1431" s="7" t="s">
        <v>3941</v>
      </c>
      <c r="I1431" s="9">
        <v>45306</v>
      </c>
    </row>
    <row r="1432" spans="1:9" x14ac:dyDescent="0.15">
      <c r="A1432" s="6">
        <v>1431</v>
      </c>
      <c r="B1432" s="7" t="s">
        <v>9</v>
      </c>
      <c r="C1432" s="8">
        <v>1883</v>
      </c>
      <c r="D1432" s="9">
        <v>45395</v>
      </c>
      <c r="E1432" s="13" t="str">
        <f>+HYPERLINK("http://trademark.i-assist.jp/data/china/image_1883th/76382444.pdf","76382444")</f>
        <v>76382444</v>
      </c>
      <c r="F1432" s="7" t="s">
        <v>3942</v>
      </c>
      <c r="G1432" s="7" t="s">
        <v>3943</v>
      </c>
      <c r="H1432" s="7" t="s">
        <v>3944</v>
      </c>
      <c r="I1432" s="9">
        <v>45306</v>
      </c>
    </row>
    <row r="1433" spans="1:9" x14ac:dyDescent="0.15">
      <c r="A1433" s="6">
        <v>1432</v>
      </c>
      <c r="B1433" s="7" t="s">
        <v>9</v>
      </c>
      <c r="C1433" s="8">
        <v>1883</v>
      </c>
      <c r="D1433" s="9">
        <v>45395</v>
      </c>
      <c r="E1433" s="13" t="str">
        <f>+HYPERLINK("http://trademark.i-assist.jp/data/china/image_1883th/76383245.pdf","76383245")</f>
        <v>76383245</v>
      </c>
      <c r="F1433" s="7" t="s">
        <v>3945</v>
      </c>
      <c r="G1433" s="7" t="s">
        <v>3946</v>
      </c>
      <c r="H1433" s="7" t="s">
        <v>3947</v>
      </c>
      <c r="I1433" s="9">
        <v>45306</v>
      </c>
    </row>
    <row r="1434" spans="1:9" x14ac:dyDescent="0.15">
      <c r="A1434" s="6">
        <v>1433</v>
      </c>
      <c r="B1434" s="7" t="s">
        <v>9</v>
      </c>
      <c r="C1434" s="8">
        <v>1883</v>
      </c>
      <c r="D1434" s="9">
        <v>45395</v>
      </c>
      <c r="E1434" s="13" t="str">
        <f>+HYPERLINK("http://trademark.i-assist.jp/data/china/image_1883th/76383282.pdf","76383282")</f>
        <v>76383282</v>
      </c>
      <c r="F1434" s="7" t="s">
        <v>3948</v>
      </c>
      <c r="G1434" s="7" t="s">
        <v>3949</v>
      </c>
      <c r="H1434" s="7" t="s">
        <v>3950</v>
      </c>
      <c r="I1434" s="9">
        <v>45306</v>
      </c>
    </row>
    <row r="1435" spans="1:9" ht="27" x14ac:dyDescent="0.15">
      <c r="A1435" s="6">
        <v>1434</v>
      </c>
      <c r="B1435" s="7" t="s">
        <v>9</v>
      </c>
      <c r="C1435" s="8">
        <v>1883</v>
      </c>
      <c r="D1435" s="9">
        <v>45395</v>
      </c>
      <c r="E1435" s="13" t="str">
        <f>+HYPERLINK("http://trademark.i-assist.jp/data/china/image_1883th/76383900.pdf","76383900")</f>
        <v>76383900</v>
      </c>
      <c r="F1435" s="7" t="s">
        <v>57</v>
      </c>
      <c r="G1435" s="7" t="s">
        <v>3951</v>
      </c>
      <c r="H1435" s="7" t="s">
        <v>3952</v>
      </c>
      <c r="I1435" s="9">
        <v>45306</v>
      </c>
    </row>
    <row r="1436" spans="1:9" x14ac:dyDescent="0.15">
      <c r="A1436" s="6">
        <v>1435</v>
      </c>
      <c r="B1436" s="7" t="s">
        <v>9</v>
      </c>
      <c r="C1436" s="8">
        <v>1883</v>
      </c>
      <c r="D1436" s="9">
        <v>45395</v>
      </c>
      <c r="E1436" s="13" t="str">
        <f>+HYPERLINK("http://trademark.i-assist.jp/data/china/image_1883th/76383928.pdf","76383928")</f>
        <v>76383928</v>
      </c>
      <c r="F1436" s="7" t="s">
        <v>3953</v>
      </c>
      <c r="G1436" s="7" t="s">
        <v>3954</v>
      </c>
      <c r="H1436" s="7" t="s">
        <v>3955</v>
      </c>
      <c r="I1436" s="9">
        <v>45306</v>
      </c>
    </row>
    <row r="1437" spans="1:9" x14ac:dyDescent="0.15">
      <c r="A1437" s="6">
        <v>1436</v>
      </c>
      <c r="B1437" s="7" t="s">
        <v>9</v>
      </c>
      <c r="C1437" s="8">
        <v>1883</v>
      </c>
      <c r="D1437" s="9">
        <v>45395</v>
      </c>
      <c r="E1437" s="13" t="str">
        <f>+HYPERLINK("http://trademark.i-assist.jp/data/china/image_1883th/76384016.pdf","76384016")</f>
        <v>76384016</v>
      </c>
      <c r="F1437" s="7" t="s">
        <v>57</v>
      </c>
      <c r="G1437" s="7" t="s">
        <v>3956</v>
      </c>
      <c r="H1437" s="7" t="s">
        <v>3957</v>
      </c>
      <c r="I1437" s="9">
        <v>45306</v>
      </c>
    </row>
    <row r="1438" spans="1:9" x14ac:dyDescent="0.15">
      <c r="A1438" s="6">
        <v>1437</v>
      </c>
      <c r="B1438" s="7" t="s">
        <v>9</v>
      </c>
      <c r="C1438" s="8">
        <v>1883</v>
      </c>
      <c r="D1438" s="9">
        <v>45395</v>
      </c>
      <c r="E1438" s="13" t="str">
        <f>+HYPERLINK("http://trademark.i-assist.jp/data/china/image_1883th/76384081.pdf","76384081")</f>
        <v>76384081</v>
      </c>
      <c r="F1438" s="7" t="s">
        <v>3958</v>
      </c>
      <c r="G1438" s="7" t="s">
        <v>3959</v>
      </c>
      <c r="H1438" s="7" t="s">
        <v>3960</v>
      </c>
      <c r="I1438" s="9">
        <v>45306</v>
      </c>
    </row>
    <row r="1439" spans="1:9" x14ac:dyDescent="0.15">
      <c r="A1439" s="6">
        <v>1438</v>
      </c>
      <c r="B1439" s="7" t="s">
        <v>9</v>
      </c>
      <c r="C1439" s="8">
        <v>1883</v>
      </c>
      <c r="D1439" s="9">
        <v>45395</v>
      </c>
      <c r="E1439" s="13" t="str">
        <f>+HYPERLINK("http://trademark.i-assist.jp/data/china/image_1883th/76384404.pdf","76384404")</f>
        <v>76384404</v>
      </c>
      <c r="F1439" s="7" t="s">
        <v>3961</v>
      </c>
      <c r="G1439" s="7" t="s">
        <v>3918</v>
      </c>
      <c r="H1439" s="7" t="s">
        <v>3962</v>
      </c>
      <c r="I1439" s="9">
        <v>45306</v>
      </c>
    </row>
    <row r="1440" spans="1:9" x14ac:dyDescent="0.15">
      <c r="A1440" s="6">
        <v>1439</v>
      </c>
      <c r="B1440" s="7" t="s">
        <v>9</v>
      </c>
      <c r="C1440" s="8">
        <v>1883</v>
      </c>
      <c r="D1440" s="9">
        <v>45395</v>
      </c>
      <c r="E1440" s="13" t="str">
        <f>+HYPERLINK("http://trademark.i-assist.jp/data/china/image_1883th/76384559.pdf","76384559")</f>
        <v>76384559</v>
      </c>
      <c r="F1440" s="7" t="s">
        <v>3963</v>
      </c>
      <c r="G1440" s="7" t="s">
        <v>3964</v>
      </c>
      <c r="H1440" s="7" t="s">
        <v>3965</v>
      </c>
      <c r="I1440" s="9">
        <v>45306</v>
      </c>
    </row>
    <row r="1441" spans="1:9" x14ac:dyDescent="0.15">
      <c r="A1441" s="6">
        <v>1440</v>
      </c>
      <c r="B1441" s="7" t="s">
        <v>9</v>
      </c>
      <c r="C1441" s="8">
        <v>1883</v>
      </c>
      <c r="D1441" s="9">
        <v>45395</v>
      </c>
      <c r="E1441" s="13" t="str">
        <f>+HYPERLINK("http://trademark.i-assist.jp/data/china/image_1883th/76384670.pdf","76384670")</f>
        <v>76384670</v>
      </c>
      <c r="F1441" s="7" t="s">
        <v>3966</v>
      </c>
      <c r="G1441" s="7" t="s">
        <v>3967</v>
      </c>
      <c r="H1441" s="7" t="s">
        <v>3968</v>
      </c>
      <c r="I1441" s="9">
        <v>45306</v>
      </c>
    </row>
    <row r="1442" spans="1:9" x14ac:dyDescent="0.15">
      <c r="A1442" s="6">
        <v>1441</v>
      </c>
      <c r="B1442" s="7" t="s">
        <v>9</v>
      </c>
      <c r="C1442" s="8">
        <v>1883</v>
      </c>
      <c r="D1442" s="9">
        <v>45395</v>
      </c>
      <c r="E1442" s="13" t="str">
        <f>+HYPERLINK("http://trademark.i-assist.jp/data/china/image_1883th/76384796.pdf","76384796")</f>
        <v>76384796</v>
      </c>
      <c r="F1442" s="7" t="s">
        <v>3969</v>
      </c>
      <c r="G1442" s="7" t="s">
        <v>3970</v>
      </c>
      <c r="H1442" s="7" t="s">
        <v>3971</v>
      </c>
      <c r="I1442" s="9">
        <v>45306</v>
      </c>
    </row>
    <row r="1443" spans="1:9" x14ac:dyDescent="0.15">
      <c r="A1443" s="6">
        <v>1442</v>
      </c>
      <c r="B1443" s="7" t="s">
        <v>9</v>
      </c>
      <c r="C1443" s="8">
        <v>1883</v>
      </c>
      <c r="D1443" s="9">
        <v>45395</v>
      </c>
      <c r="E1443" s="13" t="str">
        <f>+HYPERLINK("http://trademark.i-assist.jp/data/china/image_1883th/76384822.pdf","76384822")</f>
        <v>76384822</v>
      </c>
      <c r="F1443" s="7" t="s">
        <v>3972</v>
      </c>
      <c r="G1443" s="7" t="s">
        <v>3973</v>
      </c>
      <c r="H1443" s="7" t="s">
        <v>3974</v>
      </c>
      <c r="I1443" s="9">
        <v>45306</v>
      </c>
    </row>
    <row r="1444" spans="1:9" x14ac:dyDescent="0.15">
      <c r="A1444" s="6">
        <v>1443</v>
      </c>
      <c r="B1444" s="7" t="s">
        <v>9</v>
      </c>
      <c r="C1444" s="8">
        <v>1883</v>
      </c>
      <c r="D1444" s="9">
        <v>45395</v>
      </c>
      <c r="E1444" s="13" t="str">
        <f>+HYPERLINK("http://trademark.i-assist.jp/data/china/image_1883th/76385109.pdf","76385109")</f>
        <v>76385109</v>
      </c>
      <c r="F1444" s="7" t="s">
        <v>3975</v>
      </c>
      <c r="G1444" s="7" t="s">
        <v>3976</v>
      </c>
      <c r="H1444" s="7" t="s">
        <v>3977</v>
      </c>
      <c r="I1444" s="9">
        <v>45306</v>
      </c>
    </row>
    <row r="1445" spans="1:9" ht="27" x14ac:dyDescent="0.15">
      <c r="A1445" s="6">
        <v>1444</v>
      </c>
      <c r="B1445" s="7" t="s">
        <v>9</v>
      </c>
      <c r="C1445" s="8">
        <v>1883</v>
      </c>
      <c r="D1445" s="9">
        <v>45395</v>
      </c>
      <c r="E1445" s="13" t="str">
        <f>+HYPERLINK("http://trademark.i-assist.jp/data/china/image_1883th/76385186.pdf","76385186")</f>
        <v>76385186</v>
      </c>
      <c r="F1445" s="7" t="s">
        <v>3978</v>
      </c>
      <c r="G1445" s="7" t="s">
        <v>3979</v>
      </c>
      <c r="H1445" s="7" t="s">
        <v>3980</v>
      </c>
      <c r="I1445" s="9">
        <v>45306</v>
      </c>
    </row>
    <row r="1446" spans="1:9" ht="27" x14ac:dyDescent="0.15">
      <c r="A1446" s="6">
        <v>1445</v>
      </c>
      <c r="B1446" s="7" t="s">
        <v>9</v>
      </c>
      <c r="C1446" s="8">
        <v>1883</v>
      </c>
      <c r="D1446" s="9">
        <v>45395</v>
      </c>
      <c r="E1446" s="13" t="str">
        <f>+HYPERLINK("http://trademark.i-assist.jp/data/china/image_1883th/76385220.pdf","76385220")</f>
        <v>76385220</v>
      </c>
      <c r="F1446" s="7" t="s">
        <v>3981</v>
      </c>
      <c r="G1446" s="7" t="s">
        <v>3982</v>
      </c>
      <c r="H1446" s="7" t="s">
        <v>3983</v>
      </c>
      <c r="I1446" s="9">
        <v>45306</v>
      </c>
    </row>
    <row r="1447" spans="1:9" x14ac:dyDescent="0.15">
      <c r="A1447" s="6">
        <v>1446</v>
      </c>
      <c r="B1447" s="7" t="s">
        <v>9</v>
      </c>
      <c r="C1447" s="8">
        <v>1883</v>
      </c>
      <c r="D1447" s="9">
        <v>45395</v>
      </c>
      <c r="E1447" s="13" t="str">
        <f>+HYPERLINK("http://trademark.i-assist.jp/data/china/image_1883th/76385420.pdf","76385420")</f>
        <v>76385420</v>
      </c>
      <c r="F1447" s="7" t="s">
        <v>3984</v>
      </c>
      <c r="G1447" s="7" t="s">
        <v>3985</v>
      </c>
      <c r="H1447" s="7" t="s">
        <v>3986</v>
      </c>
      <c r="I1447" s="9">
        <v>45306</v>
      </c>
    </row>
    <row r="1448" spans="1:9" x14ac:dyDescent="0.15">
      <c r="A1448" s="6">
        <v>1447</v>
      </c>
      <c r="B1448" s="7" t="s">
        <v>9</v>
      </c>
      <c r="C1448" s="8">
        <v>1883</v>
      </c>
      <c r="D1448" s="9">
        <v>45395</v>
      </c>
      <c r="E1448" s="13" t="str">
        <f>+HYPERLINK("http://trademark.i-assist.jp/data/china/image_1883th/76385574.pdf","76385574")</f>
        <v>76385574</v>
      </c>
      <c r="F1448" s="7" t="s">
        <v>3987</v>
      </c>
      <c r="G1448" s="7" t="s">
        <v>3693</v>
      </c>
      <c r="H1448" s="7" t="s">
        <v>3988</v>
      </c>
      <c r="I1448" s="9">
        <v>45306</v>
      </c>
    </row>
    <row r="1449" spans="1:9" x14ac:dyDescent="0.15">
      <c r="A1449" s="6">
        <v>1448</v>
      </c>
      <c r="B1449" s="7" t="s">
        <v>9</v>
      </c>
      <c r="C1449" s="8">
        <v>1883</v>
      </c>
      <c r="D1449" s="9">
        <v>45395</v>
      </c>
      <c r="E1449" s="13" t="str">
        <f>+HYPERLINK("http://trademark.i-assist.jp/data/china/image_1883th/76385715.pdf","76385715")</f>
        <v>76385715</v>
      </c>
      <c r="F1449" s="7" t="s">
        <v>3989</v>
      </c>
      <c r="G1449" s="7" t="s">
        <v>3990</v>
      </c>
      <c r="H1449" s="7" t="s">
        <v>3991</v>
      </c>
      <c r="I1449" s="9">
        <v>45306</v>
      </c>
    </row>
    <row r="1450" spans="1:9" ht="27" x14ac:dyDescent="0.15">
      <c r="A1450" s="6">
        <v>1449</v>
      </c>
      <c r="B1450" s="7" t="s">
        <v>9</v>
      </c>
      <c r="C1450" s="8">
        <v>1883</v>
      </c>
      <c r="D1450" s="9">
        <v>45395</v>
      </c>
      <c r="E1450" s="13" t="str">
        <f>+HYPERLINK("http://trademark.i-assist.jp/data/china/image_1883th/76385754.pdf","76385754")</f>
        <v>76385754</v>
      </c>
      <c r="F1450" s="7" t="s">
        <v>3992</v>
      </c>
      <c r="G1450" s="7" t="s">
        <v>3993</v>
      </c>
      <c r="H1450" s="7" t="s">
        <v>3994</v>
      </c>
      <c r="I1450" s="9">
        <v>45306</v>
      </c>
    </row>
    <row r="1451" spans="1:9" x14ac:dyDescent="0.15">
      <c r="A1451" s="6">
        <v>1450</v>
      </c>
      <c r="B1451" s="7" t="s">
        <v>9</v>
      </c>
      <c r="C1451" s="8">
        <v>1883</v>
      </c>
      <c r="D1451" s="9">
        <v>45395</v>
      </c>
      <c r="E1451" s="13" t="str">
        <f>+HYPERLINK("http://trademark.i-assist.jp/data/china/image_1883th/76385830.pdf","76385830")</f>
        <v>76385830</v>
      </c>
      <c r="F1451" s="7" t="s">
        <v>3995</v>
      </c>
      <c r="G1451" s="7" t="s">
        <v>3996</v>
      </c>
      <c r="H1451" s="7" t="s">
        <v>3997</v>
      </c>
      <c r="I1451" s="9">
        <v>45306</v>
      </c>
    </row>
    <row r="1452" spans="1:9" x14ac:dyDescent="0.15">
      <c r="A1452" s="6">
        <v>1451</v>
      </c>
      <c r="B1452" s="7" t="s">
        <v>9</v>
      </c>
      <c r="C1452" s="8">
        <v>1883</v>
      </c>
      <c r="D1452" s="9">
        <v>45395</v>
      </c>
      <c r="E1452" s="13" t="str">
        <f>+HYPERLINK("http://trademark.i-assist.jp/data/china/image_1883th/76386053.pdf","76386053")</f>
        <v>76386053</v>
      </c>
      <c r="F1452" s="7" t="s">
        <v>3998</v>
      </c>
      <c r="G1452" s="7" t="s">
        <v>3906</v>
      </c>
      <c r="H1452" s="7" t="s">
        <v>3999</v>
      </c>
      <c r="I1452" s="9">
        <v>45306</v>
      </c>
    </row>
    <row r="1453" spans="1:9" x14ac:dyDescent="0.15">
      <c r="A1453" s="6">
        <v>1452</v>
      </c>
      <c r="B1453" s="7" t="s">
        <v>9</v>
      </c>
      <c r="C1453" s="8">
        <v>1883</v>
      </c>
      <c r="D1453" s="9">
        <v>45395</v>
      </c>
      <c r="E1453" s="13" t="str">
        <f>+HYPERLINK("http://trademark.i-assist.jp/data/china/image_1883th/76386264.pdf","76386264")</f>
        <v>76386264</v>
      </c>
      <c r="F1453" s="7" t="s">
        <v>4000</v>
      </c>
      <c r="G1453" s="7" t="s">
        <v>4001</v>
      </c>
      <c r="H1453" s="7" t="s">
        <v>4002</v>
      </c>
      <c r="I1453" s="9">
        <v>45306</v>
      </c>
    </row>
    <row r="1454" spans="1:9" x14ac:dyDescent="0.15">
      <c r="A1454" s="6">
        <v>1453</v>
      </c>
      <c r="B1454" s="7" t="s">
        <v>9</v>
      </c>
      <c r="C1454" s="8">
        <v>1883</v>
      </c>
      <c r="D1454" s="9">
        <v>45395</v>
      </c>
      <c r="E1454" s="13" t="str">
        <f>+HYPERLINK("http://trademark.i-assist.jp/data/china/image_1883th/76386356.pdf","76386356")</f>
        <v>76386356</v>
      </c>
      <c r="F1454" s="7" t="s">
        <v>4003</v>
      </c>
      <c r="G1454" s="7" t="s">
        <v>4004</v>
      </c>
      <c r="H1454" s="7" t="s">
        <v>4005</v>
      </c>
      <c r="I1454" s="9">
        <v>45306</v>
      </c>
    </row>
    <row r="1455" spans="1:9" x14ac:dyDescent="0.15">
      <c r="A1455" s="6">
        <v>1454</v>
      </c>
      <c r="B1455" s="7" t="s">
        <v>9</v>
      </c>
      <c r="C1455" s="8">
        <v>1883</v>
      </c>
      <c r="D1455" s="9">
        <v>45395</v>
      </c>
      <c r="E1455" s="13" t="str">
        <f>+HYPERLINK("http://trademark.i-assist.jp/data/china/image_1883th/76386369.pdf","76386369")</f>
        <v>76386369</v>
      </c>
      <c r="F1455" s="7" t="s">
        <v>4006</v>
      </c>
      <c r="G1455" s="7" t="s">
        <v>4007</v>
      </c>
      <c r="H1455" s="7" t="s">
        <v>4008</v>
      </c>
      <c r="I1455" s="9">
        <v>45306</v>
      </c>
    </row>
    <row r="1456" spans="1:9" x14ac:dyDescent="0.15">
      <c r="A1456" s="6">
        <v>1455</v>
      </c>
      <c r="B1456" s="7" t="s">
        <v>9</v>
      </c>
      <c r="C1456" s="8">
        <v>1883</v>
      </c>
      <c r="D1456" s="9">
        <v>45395</v>
      </c>
      <c r="E1456" s="13" t="str">
        <f>+HYPERLINK("http://trademark.i-assist.jp/data/china/image_1883th/76386388.pdf","76386388")</f>
        <v>76386388</v>
      </c>
      <c r="F1456" s="7" t="s">
        <v>4009</v>
      </c>
      <c r="G1456" s="7" t="s">
        <v>4010</v>
      </c>
      <c r="H1456" s="7" t="s">
        <v>4011</v>
      </c>
      <c r="I1456" s="9">
        <v>45306</v>
      </c>
    </row>
    <row r="1457" spans="1:9" x14ac:dyDescent="0.15">
      <c r="A1457" s="6">
        <v>1456</v>
      </c>
      <c r="B1457" s="7" t="s">
        <v>9</v>
      </c>
      <c r="C1457" s="8">
        <v>1883</v>
      </c>
      <c r="D1457" s="9">
        <v>45395</v>
      </c>
      <c r="E1457" s="13" t="str">
        <f>+HYPERLINK("http://trademark.i-assist.jp/data/china/image_1883th/76386399.pdf","76386399")</f>
        <v>76386399</v>
      </c>
      <c r="F1457" s="7" t="s">
        <v>4012</v>
      </c>
      <c r="G1457" s="7" t="s">
        <v>4013</v>
      </c>
      <c r="H1457" s="7" t="s">
        <v>4014</v>
      </c>
      <c r="I1457" s="9">
        <v>45306</v>
      </c>
    </row>
    <row r="1458" spans="1:9" x14ac:dyDescent="0.15">
      <c r="A1458" s="6">
        <v>1457</v>
      </c>
      <c r="B1458" s="7" t="s">
        <v>9</v>
      </c>
      <c r="C1458" s="8">
        <v>1883</v>
      </c>
      <c r="D1458" s="9">
        <v>45395</v>
      </c>
      <c r="E1458" s="13" t="str">
        <f>+HYPERLINK("http://trademark.i-assist.jp/data/china/image_1883th/76386432.pdf","76386432")</f>
        <v>76386432</v>
      </c>
      <c r="F1458" s="7" t="s">
        <v>4015</v>
      </c>
      <c r="G1458" s="7" t="s">
        <v>3906</v>
      </c>
      <c r="H1458" s="7" t="s">
        <v>4016</v>
      </c>
      <c r="I1458" s="9">
        <v>45306</v>
      </c>
    </row>
    <row r="1459" spans="1:9" x14ac:dyDescent="0.15">
      <c r="A1459" s="6">
        <v>1458</v>
      </c>
      <c r="B1459" s="7" t="s">
        <v>9</v>
      </c>
      <c r="C1459" s="8">
        <v>1883</v>
      </c>
      <c r="D1459" s="9">
        <v>45395</v>
      </c>
      <c r="E1459" s="13" t="str">
        <f>+HYPERLINK("http://trademark.i-assist.jp/data/china/image_1883th/76386478.pdf","76386478")</f>
        <v>76386478</v>
      </c>
      <c r="F1459" s="7" t="s">
        <v>4017</v>
      </c>
      <c r="G1459" s="7" t="s">
        <v>4018</v>
      </c>
      <c r="H1459" s="7" t="s">
        <v>4019</v>
      </c>
      <c r="I1459" s="9">
        <v>45306</v>
      </c>
    </row>
    <row r="1460" spans="1:9" x14ac:dyDescent="0.15">
      <c r="A1460" s="6">
        <v>1459</v>
      </c>
      <c r="B1460" s="7" t="s">
        <v>9</v>
      </c>
      <c r="C1460" s="8">
        <v>1883</v>
      </c>
      <c r="D1460" s="9">
        <v>45395</v>
      </c>
      <c r="E1460" s="13" t="str">
        <f>+HYPERLINK("http://trademark.i-assist.jp/data/china/image_1883th/76386737.pdf","76386737")</f>
        <v>76386737</v>
      </c>
      <c r="F1460" s="7" t="s">
        <v>4020</v>
      </c>
      <c r="G1460" s="7" t="s">
        <v>4021</v>
      </c>
      <c r="H1460" s="7" t="s">
        <v>4022</v>
      </c>
      <c r="I1460" s="9">
        <v>45306</v>
      </c>
    </row>
    <row r="1461" spans="1:9" x14ac:dyDescent="0.15">
      <c r="A1461" s="6">
        <v>1460</v>
      </c>
      <c r="B1461" s="7" t="s">
        <v>9</v>
      </c>
      <c r="C1461" s="8">
        <v>1883</v>
      </c>
      <c r="D1461" s="9">
        <v>45395</v>
      </c>
      <c r="E1461" s="13" t="str">
        <f>+HYPERLINK("http://trademark.i-assist.jp/data/china/image_1883th/76386757.pdf","76386757")</f>
        <v>76386757</v>
      </c>
      <c r="F1461" s="7" t="s">
        <v>4023</v>
      </c>
      <c r="G1461" s="7" t="s">
        <v>3906</v>
      </c>
      <c r="H1461" s="7" t="s">
        <v>4024</v>
      </c>
      <c r="I1461" s="9">
        <v>45306</v>
      </c>
    </row>
    <row r="1462" spans="1:9" x14ac:dyDescent="0.15">
      <c r="A1462" s="6">
        <v>1461</v>
      </c>
      <c r="B1462" s="7" t="s">
        <v>9</v>
      </c>
      <c r="C1462" s="8">
        <v>1883</v>
      </c>
      <c r="D1462" s="9">
        <v>45395</v>
      </c>
      <c r="E1462" s="13" t="str">
        <f>+HYPERLINK("http://trademark.i-assist.jp/data/china/image_1883th/76386767.pdf","76386767")</f>
        <v>76386767</v>
      </c>
      <c r="F1462" s="7" t="s">
        <v>4025</v>
      </c>
      <c r="G1462" s="7" t="s">
        <v>4026</v>
      </c>
      <c r="H1462" s="7" t="s">
        <v>4027</v>
      </c>
      <c r="I1462" s="9">
        <v>45306</v>
      </c>
    </row>
    <row r="1463" spans="1:9" x14ac:dyDescent="0.15">
      <c r="A1463" s="6">
        <v>1462</v>
      </c>
      <c r="B1463" s="7" t="s">
        <v>9</v>
      </c>
      <c r="C1463" s="8">
        <v>1883</v>
      </c>
      <c r="D1463" s="9">
        <v>45395</v>
      </c>
      <c r="E1463" s="13" t="str">
        <f>+HYPERLINK("http://trademark.i-assist.jp/data/china/image_1883th/76386898.pdf","76386898")</f>
        <v>76386898</v>
      </c>
      <c r="F1463" s="7" t="s">
        <v>4028</v>
      </c>
      <c r="G1463" s="7" t="s">
        <v>4029</v>
      </c>
      <c r="H1463" s="7" t="s">
        <v>10</v>
      </c>
      <c r="I1463" s="9">
        <v>45306</v>
      </c>
    </row>
    <row r="1464" spans="1:9" x14ac:dyDescent="0.15">
      <c r="A1464" s="6">
        <v>1463</v>
      </c>
      <c r="B1464" s="7" t="s">
        <v>9</v>
      </c>
      <c r="C1464" s="8">
        <v>1883</v>
      </c>
      <c r="D1464" s="9">
        <v>45395</v>
      </c>
      <c r="E1464" s="13" t="str">
        <f>+HYPERLINK("http://trademark.i-assist.jp/data/china/image_1883th/76386993.pdf","76386993")</f>
        <v>76386993</v>
      </c>
      <c r="F1464" s="7" t="s">
        <v>4030</v>
      </c>
      <c r="G1464" s="7" t="s">
        <v>4031</v>
      </c>
      <c r="H1464" s="7" t="s">
        <v>4032</v>
      </c>
      <c r="I1464" s="9">
        <v>45306</v>
      </c>
    </row>
    <row r="1465" spans="1:9" x14ac:dyDescent="0.15">
      <c r="A1465" s="6">
        <v>1464</v>
      </c>
      <c r="B1465" s="7" t="s">
        <v>9</v>
      </c>
      <c r="C1465" s="8">
        <v>1883</v>
      </c>
      <c r="D1465" s="9">
        <v>45395</v>
      </c>
      <c r="E1465" s="13" t="str">
        <f>+HYPERLINK("http://trademark.i-assist.jp/data/china/image_1883th/76387004.pdf","76387004")</f>
        <v>76387004</v>
      </c>
      <c r="F1465" s="7" t="s">
        <v>4033</v>
      </c>
      <c r="G1465" s="7" t="s">
        <v>4034</v>
      </c>
      <c r="H1465" s="7" t="s">
        <v>4035</v>
      </c>
      <c r="I1465" s="9">
        <v>45306</v>
      </c>
    </row>
    <row r="1466" spans="1:9" x14ac:dyDescent="0.15">
      <c r="A1466" s="6">
        <v>1465</v>
      </c>
      <c r="B1466" s="7" t="s">
        <v>9</v>
      </c>
      <c r="C1466" s="8">
        <v>1883</v>
      </c>
      <c r="D1466" s="9">
        <v>45395</v>
      </c>
      <c r="E1466" s="13" t="str">
        <f>+HYPERLINK("http://trademark.i-assist.jp/data/china/image_1883th/76387323.pdf","76387323")</f>
        <v>76387323</v>
      </c>
      <c r="F1466" s="7" t="s">
        <v>4036</v>
      </c>
      <c r="G1466" s="7" t="s">
        <v>4037</v>
      </c>
      <c r="H1466" s="7" t="s">
        <v>4038</v>
      </c>
      <c r="I1466" s="9">
        <v>45306</v>
      </c>
    </row>
    <row r="1467" spans="1:9" x14ac:dyDescent="0.15">
      <c r="A1467" s="6">
        <v>1466</v>
      </c>
      <c r="B1467" s="7" t="s">
        <v>9</v>
      </c>
      <c r="C1467" s="8">
        <v>1883</v>
      </c>
      <c r="D1467" s="9">
        <v>45395</v>
      </c>
      <c r="E1467" s="13" t="str">
        <f>+HYPERLINK("http://trademark.i-assist.jp/data/china/image_1883th/76387474.pdf","76387474")</f>
        <v>76387474</v>
      </c>
      <c r="F1467" s="7" t="s">
        <v>4039</v>
      </c>
      <c r="G1467" s="7" t="s">
        <v>4040</v>
      </c>
      <c r="H1467" s="7" t="s">
        <v>4041</v>
      </c>
      <c r="I1467" s="9">
        <v>45306</v>
      </c>
    </row>
    <row r="1468" spans="1:9" x14ac:dyDescent="0.15">
      <c r="A1468" s="6">
        <v>1467</v>
      </c>
      <c r="B1468" s="7" t="s">
        <v>9</v>
      </c>
      <c r="C1468" s="8">
        <v>1883</v>
      </c>
      <c r="D1468" s="9">
        <v>45395</v>
      </c>
      <c r="E1468" s="13" t="str">
        <f>+HYPERLINK("http://trademark.i-assist.jp/data/china/image_1883th/76387477.pdf","76387477")</f>
        <v>76387477</v>
      </c>
      <c r="F1468" s="7" t="s">
        <v>4042</v>
      </c>
      <c r="G1468" s="7" t="s">
        <v>4043</v>
      </c>
      <c r="H1468" s="7" t="s">
        <v>4044</v>
      </c>
      <c r="I1468" s="9">
        <v>45306</v>
      </c>
    </row>
    <row r="1469" spans="1:9" x14ac:dyDescent="0.15">
      <c r="A1469" s="6">
        <v>1468</v>
      </c>
      <c r="B1469" s="7" t="s">
        <v>9</v>
      </c>
      <c r="C1469" s="8">
        <v>1883</v>
      </c>
      <c r="D1469" s="9">
        <v>45395</v>
      </c>
      <c r="E1469" s="13" t="str">
        <f>+HYPERLINK("http://trademark.i-assist.jp/data/china/image_1883th/76387552.pdf","76387552")</f>
        <v>76387552</v>
      </c>
      <c r="F1469" s="7" t="s">
        <v>4045</v>
      </c>
      <c r="G1469" s="7" t="s">
        <v>3906</v>
      </c>
      <c r="H1469" s="7" t="s">
        <v>4046</v>
      </c>
      <c r="I1469" s="9">
        <v>45306</v>
      </c>
    </row>
    <row r="1470" spans="1:9" x14ac:dyDescent="0.15">
      <c r="A1470" s="6">
        <v>1469</v>
      </c>
      <c r="B1470" s="7" t="s">
        <v>9</v>
      </c>
      <c r="C1470" s="8">
        <v>1883</v>
      </c>
      <c r="D1470" s="9">
        <v>45395</v>
      </c>
      <c r="E1470" s="13" t="str">
        <f>+HYPERLINK("http://trademark.i-assist.jp/data/china/image_1883th/76387590.pdf","76387590")</f>
        <v>76387590</v>
      </c>
      <c r="F1470" s="7" t="s">
        <v>4047</v>
      </c>
      <c r="G1470" s="7" t="s">
        <v>4048</v>
      </c>
      <c r="H1470" s="7" t="s">
        <v>4049</v>
      </c>
      <c r="I1470" s="9">
        <v>45306</v>
      </c>
    </row>
    <row r="1471" spans="1:9" x14ac:dyDescent="0.15">
      <c r="A1471" s="6">
        <v>1470</v>
      </c>
      <c r="B1471" s="7" t="s">
        <v>9</v>
      </c>
      <c r="C1471" s="8">
        <v>1883</v>
      </c>
      <c r="D1471" s="9">
        <v>45395</v>
      </c>
      <c r="E1471" s="13" t="str">
        <f>+HYPERLINK("http://trademark.i-assist.jp/data/china/image_1883th/76387594.pdf","76387594")</f>
        <v>76387594</v>
      </c>
      <c r="F1471" s="7" t="s">
        <v>4050</v>
      </c>
      <c r="G1471" s="7" t="s">
        <v>4051</v>
      </c>
      <c r="H1471" s="7" t="s">
        <v>4052</v>
      </c>
      <c r="I1471" s="9">
        <v>45306</v>
      </c>
    </row>
    <row r="1472" spans="1:9" ht="27" x14ac:dyDescent="0.15">
      <c r="A1472" s="6">
        <v>1471</v>
      </c>
      <c r="B1472" s="7" t="s">
        <v>9</v>
      </c>
      <c r="C1472" s="8">
        <v>1883</v>
      </c>
      <c r="D1472" s="9">
        <v>45395</v>
      </c>
      <c r="E1472" s="13" t="str">
        <f>+HYPERLINK("http://trademark.i-assist.jp/data/china/image_1883th/76387956.pdf","76387956")</f>
        <v>76387956</v>
      </c>
      <c r="F1472" s="7" t="s">
        <v>4053</v>
      </c>
      <c r="G1472" s="7" t="s">
        <v>4054</v>
      </c>
      <c r="H1472" s="7" t="s">
        <v>4055</v>
      </c>
      <c r="I1472" s="9">
        <v>45306</v>
      </c>
    </row>
    <row r="1473" spans="1:9" x14ac:dyDescent="0.15">
      <c r="A1473" s="6">
        <v>1472</v>
      </c>
      <c r="B1473" s="7" t="s">
        <v>9</v>
      </c>
      <c r="C1473" s="8">
        <v>1883</v>
      </c>
      <c r="D1473" s="9">
        <v>45395</v>
      </c>
      <c r="E1473" s="13" t="str">
        <f>+HYPERLINK("http://trademark.i-assist.jp/data/china/image_1883th/76387958.pdf","76387958")</f>
        <v>76387958</v>
      </c>
      <c r="F1473" s="7" t="s">
        <v>4056</v>
      </c>
      <c r="G1473" s="7" t="s">
        <v>4057</v>
      </c>
      <c r="H1473" s="7" t="s">
        <v>4058</v>
      </c>
      <c r="I1473" s="9">
        <v>45306</v>
      </c>
    </row>
    <row r="1474" spans="1:9" x14ac:dyDescent="0.15">
      <c r="A1474" s="6">
        <v>1473</v>
      </c>
      <c r="B1474" s="7" t="s">
        <v>9</v>
      </c>
      <c r="C1474" s="8">
        <v>1883</v>
      </c>
      <c r="D1474" s="9">
        <v>45395</v>
      </c>
      <c r="E1474" s="13" t="str">
        <f>+HYPERLINK("http://trademark.i-assist.jp/data/china/image_1883th/76387997.pdf","76387997")</f>
        <v>76387997</v>
      </c>
      <c r="F1474" s="7" t="s">
        <v>4059</v>
      </c>
      <c r="G1474" s="7" t="s">
        <v>2882</v>
      </c>
      <c r="H1474" s="7" t="s">
        <v>4060</v>
      </c>
      <c r="I1474" s="9">
        <v>45306</v>
      </c>
    </row>
    <row r="1475" spans="1:9" x14ac:dyDescent="0.15">
      <c r="A1475" s="6">
        <v>1474</v>
      </c>
      <c r="B1475" s="7" t="s">
        <v>9</v>
      </c>
      <c r="C1475" s="8">
        <v>1883</v>
      </c>
      <c r="D1475" s="9">
        <v>45395</v>
      </c>
      <c r="E1475" s="13" t="str">
        <f>+HYPERLINK("http://trademark.i-assist.jp/data/china/image_1883th/76388084.pdf","76388084")</f>
        <v>76388084</v>
      </c>
      <c r="F1475" s="7" t="s">
        <v>4061</v>
      </c>
      <c r="G1475" s="7" t="s">
        <v>4062</v>
      </c>
      <c r="H1475" s="7" t="s">
        <v>4063</v>
      </c>
      <c r="I1475" s="9">
        <v>45306</v>
      </c>
    </row>
    <row r="1476" spans="1:9" ht="27" x14ac:dyDescent="0.15">
      <c r="A1476" s="6">
        <v>1475</v>
      </c>
      <c r="B1476" s="7" t="s">
        <v>9</v>
      </c>
      <c r="C1476" s="8">
        <v>1883</v>
      </c>
      <c r="D1476" s="9">
        <v>45395</v>
      </c>
      <c r="E1476" s="13" t="str">
        <f>+HYPERLINK("http://trademark.i-assist.jp/data/china/image_1883th/76388300.pdf","76388300")</f>
        <v>76388300</v>
      </c>
      <c r="F1476" s="7" t="s">
        <v>4064</v>
      </c>
      <c r="G1476" s="7" t="s">
        <v>4065</v>
      </c>
      <c r="H1476" s="7" t="s">
        <v>4066</v>
      </c>
      <c r="I1476" s="9">
        <v>45306</v>
      </c>
    </row>
    <row r="1477" spans="1:9" x14ac:dyDescent="0.15">
      <c r="A1477" s="6">
        <v>1476</v>
      </c>
      <c r="B1477" s="7" t="s">
        <v>9</v>
      </c>
      <c r="C1477" s="8">
        <v>1883</v>
      </c>
      <c r="D1477" s="9">
        <v>45395</v>
      </c>
      <c r="E1477" s="13" t="str">
        <f>+HYPERLINK("http://trademark.i-assist.jp/data/china/image_1883th/76388322.pdf","76388322")</f>
        <v>76388322</v>
      </c>
      <c r="F1477" s="7" t="s">
        <v>4067</v>
      </c>
      <c r="G1477" s="7" t="s">
        <v>3906</v>
      </c>
      <c r="H1477" s="7" t="s">
        <v>4068</v>
      </c>
      <c r="I1477" s="9">
        <v>45306</v>
      </c>
    </row>
    <row r="1478" spans="1:9" ht="27" x14ac:dyDescent="0.15">
      <c r="A1478" s="6">
        <v>1477</v>
      </c>
      <c r="B1478" s="7" t="s">
        <v>9</v>
      </c>
      <c r="C1478" s="8">
        <v>1883</v>
      </c>
      <c r="D1478" s="9">
        <v>45395</v>
      </c>
      <c r="E1478" s="13" t="str">
        <f>+HYPERLINK("http://trademark.i-assist.jp/data/china/image_1883th/76388413.pdf","76388413")</f>
        <v>76388413</v>
      </c>
      <c r="F1478" s="7" t="s">
        <v>4069</v>
      </c>
      <c r="G1478" s="7" t="s">
        <v>4070</v>
      </c>
      <c r="H1478" s="7" t="s">
        <v>4071</v>
      </c>
      <c r="I1478" s="9">
        <v>45306</v>
      </c>
    </row>
    <row r="1479" spans="1:9" x14ac:dyDescent="0.15">
      <c r="A1479" s="6">
        <v>1478</v>
      </c>
      <c r="B1479" s="7" t="s">
        <v>9</v>
      </c>
      <c r="C1479" s="8">
        <v>1883</v>
      </c>
      <c r="D1479" s="9">
        <v>45395</v>
      </c>
      <c r="E1479" s="13" t="str">
        <f>+HYPERLINK("http://trademark.i-assist.jp/data/china/image_1883th/76388628.pdf","76388628")</f>
        <v>76388628</v>
      </c>
      <c r="F1479" s="7" t="s">
        <v>4072</v>
      </c>
      <c r="G1479" s="7" t="s">
        <v>4073</v>
      </c>
      <c r="H1479" s="7" t="s">
        <v>4074</v>
      </c>
      <c r="I1479" s="9">
        <v>45306</v>
      </c>
    </row>
    <row r="1480" spans="1:9" ht="27" x14ac:dyDescent="0.15">
      <c r="A1480" s="6">
        <v>1479</v>
      </c>
      <c r="B1480" s="7" t="s">
        <v>9</v>
      </c>
      <c r="C1480" s="8">
        <v>1883</v>
      </c>
      <c r="D1480" s="9">
        <v>45395</v>
      </c>
      <c r="E1480" s="13" t="str">
        <f>+HYPERLINK("http://trademark.i-assist.jp/data/china/image_1883th/76389155.pdf","76389155")</f>
        <v>76389155</v>
      </c>
      <c r="F1480" s="7" t="s">
        <v>4075</v>
      </c>
      <c r="G1480" s="7" t="s">
        <v>4076</v>
      </c>
      <c r="H1480" s="7" t="s">
        <v>4077</v>
      </c>
      <c r="I1480" s="9">
        <v>45306</v>
      </c>
    </row>
    <row r="1481" spans="1:9" x14ac:dyDescent="0.15">
      <c r="A1481" s="6">
        <v>1480</v>
      </c>
      <c r="B1481" s="7" t="s">
        <v>9</v>
      </c>
      <c r="C1481" s="8">
        <v>1883</v>
      </c>
      <c r="D1481" s="9">
        <v>45395</v>
      </c>
      <c r="E1481" s="13" t="str">
        <f>+HYPERLINK("http://trademark.i-assist.jp/data/china/image_1883th/76389181.pdf","76389181")</f>
        <v>76389181</v>
      </c>
      <c r="F1481" s="7" t="s">
        <v>4078</v>
      </c>
      <c r="G1481" s="7" t="s">
        <v>4079</v>
      </c>
      <c r="H1481" s="7" t="s">
        <v>4080</v>
      </c>
      <c r="I1481" s="9">
        <v>45306</v>
      </c>
    </row>
    <row r="1482" spans="1:9" x14ac:dyDescent="0.15">
      <c r="A1482" s="6">
        <v>1481</v>
      </c>
      <c r="B1482" s="7" t="s">
        <v>9</v>
      </c>
      <c r="C1482" s="8">
        <v>1883</v>
      </c>
      <c r="D1482" s="9">
        <v>45395</v>
      </c>
      <c r="E1482" s="13" t="str">
        <f>+HYPERLINK("http://trademark.i-assist.jp/data/china/image_1883th/76389383.pdf","76389383")</f>
        <v>76389383</v>
      </c>
      <c r="F1482" s="7" t="s">
        <v>4081</v>
      </c>
      <c r="G1482" s="7" t="s">
        <v>4082</v>
      </c>
      <c r="H1482" s="7" t="s">
        <v>4083</v>
      </c>
      <c r="I1482" s="9">
        <v>45306</v>
      </c>
    </row>
    <row r="1483" spans="1:9" x14ac:dyDescent="0.15">
      <c r="A1483" s="6">
        <v>1482</v>
      </c>
      <c r="B1483" s="7" t="s">
        <v>9</v>
      </c>
      <c r="C1483" s="8">
        <v>1883</v>
      </c>
      <c r="D1483" s="9">
        <v>45395</v>
      </c>
      <c r="E1483" s="13" t="str">
        <f>+HYPERLINK("http://trademark.i-assist.jp/data/china/image_1883th/76389423.pdf","76389423")</f>
        <v>76389423</v>
      </c>
      <c r="F1483" s="7" t="s">
        <v>4084</v>
      </c>
      <c r="G1483" s="7" t="s">
        <v>4085</v>
      </c>
      <c r="H1483" s="7" t="s">
        <v>4086</v>
      </c>
      <c r="I1483" s="9">
        <v>45306</v>
      </c>
    </row>
    <row r="1484" spans="1:9" x14ac:dyDescent="0.15">
      <c r="A1484" s="6">
        <v>1483</v>
      </c>
      <c r="B1484" s="7" t="s">
        <v>9</v>
      </c>
      <c r="C1484" s="8">
        <v>1883</v>
      </c>
      <c r="D1484" s="9">
        <v>45395</v>
      </c>
      <c r="E1484" s="13" t="str">
        <f>+HYPERLINK("http://trademark.i-assist.jp/data/china/image_1883th/76389488.pdf","76389488")</f>
        <v>76389488</v>
      </c>
      <c r="F1484" s="7" t="s">
        <v>4087</v>
      </c>
      <c r="G1484" s="7" t="s">
        <v>4088</v>
      </c>
      <c r="H1484" s="7" t="s">
        <v>4089</v>
      </c>
      <c r="I1484" s="9">
        <v>45306</v>
      </c>
    </row>
    <row r="1485" spans="1:9" x14ac:dyDescent="0.15">
      <c r="A1485" s="6">
        <v>1484</v>
      </c>
      <c r="B1485" s="7" t="s">
        <v>9</v>
      </c>
      <c r="C1485" s="8">
        <v>1883</v>
      </c>
      <c r="D1485" s="9">
        <v>45395</v>
      </c>
      <c r="E1485" s="13" t="str">
        <f>+HYPERLINK("http://trademark.i-assist.jp/data/china/image_1883th/76389504.pdf","76389504")</f>
        <v>76389504</v>
      </c>
      <c r="F1485" s="7" t="s">
        <v>4090</v>
      </c>
      <c r="G1485" s="7" t="s">
        <v>3906</v>
      </c>
      <c r="H1485" s="7" t="s">
        <v>4091</v>
      </c>
      <c r="I1485" s="9">
        <v>45306</v>
      </c>
    </row>
    <row r="1486" spans="1:9" x14ac:dyDescent="0.15">
      <c r="A1486" s="6">
        <v>1485</v>
      </c>
      <c r="B1486" s="7" t="s">
        <v>9</v>
      </c>
      <c r="C1486" s="8">
        <v>1883</v>
      </c>
      <c r="D1486" s="9">
        <v>45395</v>
      </c>
      <c r="E1486" s="13" t="str">
        <f>+HYPERLINK("http://trademark.i-assist.jp/data/china/image_1883th/76389763.pdf","76389763")</f>
        <v>76389763</v>
      </c>
      <c r="F1486" s="7" t="s">
        <v>4092</v>
      </c>
      <c r="G1486" s="7" t="s">
        <v>4093</v>
      </c>
      <c r="H1486" s="7" t="s">
        <v>4094</v>
      </c>
      <c r="I1486" s="9">
        <v>45306</v>
      </c>
    </row>
    <row r="1487" spans="1:9" x14ac:dyDescent="0.15">
      <c r="A1487" s="6">
        <v>1486</v>
      </c>
      <c r="B1487" s="7" t="s">
        <v>9</v>
      </c>
      <c r="C1487" s="8">
        <v>1883</v>
      </c>
      <c r="D1487" s="9">
        <v>45395</v>
      </c>
      <c r="E1487" s="13" t="str">
        <f>+HYPERLINK("http://trademark.i-assist.jp/data/china/image_1883th/76389877.pdf","76389877")</f>
        <v>76389877</v>
      </c>
      <c r="F1487" s="7" t="s">
        <v>4095</v>
      </c>
      <c r="G1487" s="7" t="s">
        <v>4096</v>
      </c>
      <c r="H1487" s="7" t="s">
        <v>4097</v>
      </c>
      <c r="I1487" s="9">
        <v>45306</v>
      </c>
    </row>
    <row r="1488" spans="1:9" x14ac:dyDescent="0.15">
      <c r="A1488" s="6">
        <v>1487</v>
      </c>
      <c r="B1488" s="7" t="s">
        <v>9</v>
      </c>
      <c r="C1488" s="8">
        <v>1883</v>
      </c>
      <c r="D1488" s="9">
        <v>45395</v>
      </c>
      <c r="E1488" s="13" t="str">
        <f>+HYPERLINK("http://trademark.i-assist.jp/data/china/image_1883th/76389896.pdf","76389896")</f>
        <v>76389896</v>
      </c>
      <c r="F1488" s="7" t="s">
        <v>4098</v>
      </c>
      <c r="G1488" s="7" t="s">
        <v>4099</v>
      </c>
      <c r="H1488" s="7" t="s">
        <v>4100</v>
      </c>
      <c r="I1488" s="9">
        <v>45306</v>
      </c>
    </row>
    <row r="1489" spans="1:9" ht="27" x14ac:dyDescent="0.15">
      <c r="A1489" s="6">
        <v>1488</v>
      </c>
      <c r="B1489" s="7" t="s">
        <v>9</v>
      </c>
      <c r="C1489" s="8">
        <v>1883</v>
      </c>
      <c r="D1489" s="9">
        <v>45395</v>
      </c>
      <c r="E1489" s="13" t="str">
        <f>+HYPERLINK("http://trademark.i-assist.jp/data/china/image_1883th/76389964.pdf","76389964")</f>
        <v>76389964</v>
      </c>
      <c r="F1489" s="7" t="s">
        <v>4101</v>
      </c>
      <c r="G1489" s="7" t="s">
        <v>4102</v>
      </c>
      <c r="H1489" s="7" t="s">
        <v>4103</v>
      </c>
      <c r="I1489" s="9">
        <v>45306</v>
      </c>
    </row>
    <row r="1490" spans="1:9" x14ac:dyDescent="0.15">
      <c r="A1490" s="6">
        <v>1489</v>
      </c>
      <c r="B1490" s="7" t="s">
        <v>9</v>
      </c>
      <c r="C1490" s="8">
        <v>1883</v>
      </c>
      <c r="D1490" s="9">
        <v>45395</v>
      </c>
      <c r="E1490" s="13" t="str">
        <f>+HYPERLINK("http://trademark.i-assist.jp/data/china/image_1883th/76390097.pdf","76390097")</f>
        <v>76390097</v>
      </c>
      <c r="F1490" s="7" t="s">
        <v>4104</v>
      </c>
      <c r="G1490" s="7" t="s">
        <v>4105</v>
      </c>
      <c r="H1490" s="7" t="s">
        <v>4106</v>
      </c>
      <c r="I1490" s="9">
        <v>45306</v>
      </c>
    </row>
    <row r="1491" spans="1:9" x14ac:dyDescent="0.15">
      <c r="A1491" s="6">
        <v>1490</v>
      </c>
      <c r="B1491" s="7" t="s">
        <v>9</v>
      </c>
      <c r="C1491" s="8">
        <v>1883</v>
      </c>
      <c r="D1491" s="9">
        <v>45395</v>
      </c>
      <c r="E1491" s="13" t="str">
        <f>+HYPERLINK("http://trademark.i-assist.jp/data/china/image_1883th/76391081.pdf","76391081")</f>
        <v>76391081</v>
      </c>
      <c r="F1491" s="7" t="s">
        <v>4107</v>
      </c>
      <c r="G1491" s="7" t="s">
        <v>4108</v>
      </c>
      <c r="H1491" s="7" t="s">
        <v>4109</v>
      </c>
      <c r="I1491" s="9">
        <v>45306</v>
      </c>
    </row>
    <row r="1492" spans="1:9" x14ac:dyDescent="0.15">
      <c r="A1492" s="6">
        <v>1491</v>
      </c>
      <c r="B1492" s="7" t="s">
        <v>9</v>
      </c>
      <c r="C1492" s="8">
        <v>1883</v>
      </c>
      <c r="D1492" s="9">
        <v>45395</v>
      </c>
      <c r="E1492" s="13" t="str">
        <f>+HYPERLINK("http://trademark.i-assist.jp/data/china/image_1883th/76391292.pdf","76391292")</f>
        <v>76391292</v>
      </c>
      <c r="F1492" s="7" t="s">
        <v>4110</v>
      </c>
      <c r="G1492" s="7" t="s">
        <v>3906</v>
      </c>
      <c r="H1492" s="7" t="s">
        <v>4111</v>
      </c>
      <c r="I1492" s="9">
        <v>45306</v>
      </c>
    </row>
    <row r="1493" spans="1:9" x14ac:dyDescent="0.15">
      <c r="A1493" s="6">
        <v>1492</v>
      </c>
      <c r="B1493" s="7" t="s">
        <v>9</v>
      </c>
      <c r="C1493" s="8">
        <v>1883</v>
      </c>
      <c r="D1493" s="9">
        <v>45395</v>
      </c>
      <c r="E1493" s="13" t="str">
        <f>+HYPERLINK("http://trademark.i-assist.jp/data/china/image_1883th/76391362.pdf","76391362")</f>
        <v>76391362</v>
      </c>
      <c r="F1493" s="7" t="s">
        <v>4112</v>
      </c>
      <c r="G1493" s="7" t="s">
        <v>4113</v>
      </c>
      <c r="H1493" s="7" t="s">
        <v>4114</v>
      </c>
      <c r="I1493" s="9">
        <v>45306</v>
      </c>
    </row>
    <row r="1494" spans="1:9" x14ac:dyDescent="0.15">
      <c r="A1494" s="6">
        <v>1493</v>
      </c>
      <c r="B1494" s="7" t="s">
        <v>9</v>
      </c>
      <c r="C1494" s="8">
        <v>1883</v>
      </c>
      <c r="D1494" s="9">
        <v>45395</v>
      </c>
      <c r="E1494" s="13" t="str">
        <f>+HYPERLINK("http://trademark.i-assist.jp/data/china/image_1883th/76391495.pdf","76391495")</f>
        <v>76391495</v>
      </c>
      <c r="F1494" s="7" t="s">
        <v>4115</v>
      </c>
      <c r="G1494" s="7" t="s">
        <v>3906</v>
      </c>
      <c r="H1494" s="7" t="s">
        <v>4116</v>
      </c>
      <c r="I1494" s="9">
        <v>45306</v>
      </c>
    </row>
    <row r="1495" spans="1:9" ht="27" x14ac:dyDescent="0.15">
      <c r="A1495" s="6">
        <v>1494</v>
      </c>
      <c r="B1495" s="7" t="s">
        <v>9</v>
      </c>
      <c r="C1495" s="8">
        <v>1883</v>
      </c>
      <c r="D1495" s="9">
        <v>45395</v>
      </c>
      <c r="E1495" s="13" t="str">
        <f>+HYPERLINK("http://trademark.i-assist.jp/data/china/image_1883th/76391513.pdf","76391513")</f>
        <v>76391513</v>
      </c>
      <c r="F1495" s="7" t="s">
        <v>57</v>
      </c>
      <c r="G1495" s="7" t="s">
        <v>4117</v>
      </c>
      <c r="H1495" s="7" t="s">
        <v>4118</v>
      </c>
      <c r="I1495" s="9">
        <v>45306</v>
      </c>
    </row>
    <row r="1496" spans="1:9" x14ac:dyDescent="0.15">
      <c r="A1496" s="6">
        <v>1495</v>
      </c>
      <c r="B1496" s="7" t="s">
        <v>9</v>
      </c>
      <c r="C1496" s="8">
        <v>1883</v>
      </c>
      <c r="D1496" s="9">
        <v>45395</v>
      </c>
      <c r="E1496" s="13" t="str">
        <f>+HYPERLINK("http://trademark.i-assist.jp/data/china/image_1883th/76391528.pdf","76391528")</f>
        <v>76391528</v>
      </c>
      <c r="F1496" s="7" t="s">
        <v>4119</v>
      </c>
      <c r="G1496" s="7" t="s">
        <v>3906</v>
      </c>
      <c r="H1496" s="7" t="s">
        <v>4120</v>
      </c>
      <c r="I1496" s="9">
        <v>45306</v>
      </c>
    </row>
    <row r="1497" spans="1:9" x14ac:dyDescent="0.15">
      <c r="A1497" s="6">
        <v>1496</v>
      </c>
      <c r="B1497" s="7" t="s">
        <v>9</v>
      </c>
      <c r="C1497" s="8">
        <v>1883</v>
      </c>
      <c r="D1497" s="9">
        <v>45395</v>
      </c>
      <c r="E1497" s="13" t="str">
        <f>+HYPERLINK("http://trademark.i-assist.jp/data/china/image_1883th/76391534.pdf","76391534")</f>
        <v>76391534</v>
      </c>
      <c r="F1497" s="7" t="s">
        <v>4121</v>
      </c>
      <c r="G1497" s="7" t="s">
        <v>3906</v>
      </c>
      <c r="H1497" s="7" t="s">
        <v>4122</v>
      </c>
      <c r="I1497" s="9">
        <v>45306</v>
      </c>
    </row>
    <row r="1498" spans="1:9" x14ac:dyDescent="0.15">
      <c r="A1498" s="6">
        <v>1497</v>
      </c>
      <c r="B1498" s="7" t="s">
        <v>9</v>
      </c>
      <c r="C1498" s="8">
        <v>1883</v>
      </c>
      <c r="D1498" s="9">
        <v>45395</v>
      </c>
      <c r="E1498" s="13" t="str">
        <f>+HYPERLINK("http://trademark.i-assist.jp/data/china/image_1883th/76391608.pdf","76391608")</f>
        <v>76391608</v>
      </c>
      <c r="F1498" s="7" t="s">
        <v>4123</v>
      </c>
      <c r="G1498" s="7" t="s">
        <v>4124</v>
      </c>
      <c r="H1498" s="7" t="s">
        <v>4125</v>
      </c>
      <c r="I1498" s="9">
        <v>45306</v>
      </c>
    </row>
    <row r="1499" spans="1:9" x14ac:dyDescent="0.15">
      <c r="A1499" s="6">
        <v>1498</v>
      </c>
      <c r="B1499" s="7" t="s">
        <v>9</v>
      </c>
      <c r="C1499" s="8">
        <v>1883</v>
      </c>
      <c r="D1499" s="9">
        <v>45395</v>
      </c>
      <c r="E1499" s="13" t="str">
        <f>+HYPERLINK("http://trademark.i-assist.jp/data/china/image_1883th/76392058.pdf","76392058")</f>
        <v>76392058</v>
      </c>
      <c r="F1499" s="7" t="s">
        <v>4126</v>
      </c>
      <c r="G1499" s="7" t="s">
        <v>4127</v>
      </c>
      <c r="H1499" s="7" t="s">
        <v>4128</v>
      </c>
      <c r="I1499" s="9">
        <v>45306</v>
      </c>
    </row>
    <row r="1500" spans="1:9" x14ac:dyDescent="0.15">
      <c r="A1500" s="6">
        <v>1499</v>
      </c>
      <c r="B1500" s="7" t="s">
        <v>9</v>
      </c>
      <c r="C1500" s="8">
        <v>1883</v>
      </c>
      <c r="D1500" s="9">
        <v>45395</v>
      </c>
      <c r="E1500" s="13" t="str">
        <f>+HYPERLINK("http://trademark.i-assist.jp/data/china/image_1883th/76392088.pdf","76392088")</f>
        <v>76392088</v>
      </c>
      <c r="F1500" s="7" t="s">
        <v>4129</v>
      </c>
      <c r="G1500" s="7" t="s">
        <v>4130</v>
      </c>
      <c r="H1500" s="7" t="s">
        <v>4131</v>
      </c>
      <c r="I1500" s="9">
        <v>45306</v>
      </c>
    </row>
    <row r="1501" spans="1:9" ht="27" x14ac:dyDescent="0.15">
      <c r="A1501" s="6">
        <v>1500</v>
      </c>
      <c r="B1501" s="7" t="s">
        <v>9</v>
      </c>
      <c r="C1501" s="8">
        <v>1883</v>
      </c>
      <c r="D1501" s="9">
        <v>45395</v>
      </c>
      <c r="E1501" s="13" t="str">
        <f>+HYPERLINK("http://trademark.i-assist.jp/data/china/image_1883th/76392114.pdf","76392114")</f>
        <v>76392114</v>
      </c>
      <c r="F1501" s="7" t="s">
        <v>4132</v>
      </c>
      <c r="G1501" s="7" t="s">
        <v>4133</v>
      </c>
      <c r="H1501" s="7" t="s">
        <v>4134</v>
      </c>
      <c r="I1501" s="9">
        <v>45306</v>
      </c>
    </row>
    <row r="1502" spans="1:9" x14ac:dyDescent="0.15">
      <c r="A1502" s="6">
        <v>1501</v>
      </c>
      <c r="B1502" s="7" t="s">
        <v>9</v>
      </c>
      <c r="C1502" s="8">
        <v>1883</v>
      </c>
      <c r="D1502" s="9">
        <v>45395</v>
      </c>
      <c r="E1502" s="13" t="str">
        <f>+HYPERLINK("http://trademark.i-assist.jp/data/china/image_1883th/76392251.pdf","76392251")</f>
        <v>76392251</v>
      </c>
      <c r="F1502" s="7" t="s">
        <v>4135</v>
      </c>
      <c r="G1502" s="7" t="s">
        <v>4136</v>
      </c>
      <c r="H1502" s="7" t="s">
        <v>4137</v>
      </c>
      <c r="I1502" s="9">
        <v>45306</v>
      </c>
    </row>
    <row r="1503" spans="1:9" x14ac:dyDescent="0.15">
      <c r="A1503" s="6">
        <v>1502</v>
      </c>
      <c r="B1503" s="7" t="s">
        <v>9</v>
      </c>
      <c r="C1503" s="8">
        <v>1883</v>
      </c>
      <c r="D1503" s="9">
        <v>45395</v>
      </c>
      <c r="E1503" s="13" t="str">
        <f>+HYPERLINK("http://trademark.i-assist.jp/data/china/image_1883th/76392256.pdf","76392256")</f>
        <v>76392256</v>
      </c>
      <c r="F1503" s="7" t="s">
        <v>4138</v>
      </c>
      <c r="G1503" s="7" t="s">
        <v>4139</v>
      </c>
      <c r="H1503" s="7" t="s">
        <v>4140</v>
      </c>
      <c r="I1503" s="9">
        <v>45306</v>
      </c>
    </row>
    <row r="1504" spans="1:9" x14ac:dyDescent="0.15">
      <c r="A1504" s="6">
        <v>1503</v>
      </c>
      <c r="B1504" s="7" t="s">
        <v>9</v>
      </c>
      <c r="C1504" s="8">
        <v>1883</v>
      </c>
      <c r="D1504" s="9">
        <v>45395</v>
      </c>
      <c r="E1504" s="13" t="str">
        <f>+HYPERLINK("http://trademark.i-assist.jp/data/china/image_1883th/76392283.pdf","76392283")</f>
        <v>76392283</v>
      </c>
      <c r="F1504" s="7" t="s">
        <v>4141</v>
      </c>
      <c r="G1504" s="7" t="s">
        <v>4142</v>
      </c>
      <c r="H1504" s="7" t="s">
        <v>4143</v>
      </c>
      <c r="I1504" s="9">
        <v>45306</v>
      </c>
    </row>
    <row r="1505" spans="1:9" x14ac:dyDescent="0.15">
      <c r="A1505" s="6">
        <v>1504</v>
      </c>
      <c r="B1505" s="7" t="s">
        <v>9</v>
      </c>
      <c r="C1505" s="8">
        <v>1883</v>
      </c>
      <c r="D1505" s="9">
        <v>45395</v>
      </c>
      <c r="E1505" s="13" t="str">
        <f>+HYPERLINK("http://trademark.i-assist.jp/data/china/image_1883th/76392310.pdf","76392310")</f>
        <v>76392310</v>
      </c>
      <c r="F1505" s="7" t="s">
        <v>4144</v>
      </c>
      <c r="G1505" s="7" t="s">
        <v>4145</v>
      </c>
      <c r="H1505" s="7" t="s">
        <v>4146</v>
      </c>
      <c r="I1505" s="9">
        <v>45306</v>
      </c>
    </row>
    <row r="1506" spans="1:9" x14ac:dyDescent="0.15">
      <c r="A1506" s="6">
        <v>1505</v>
      </c>
      <c r="B1506" s="7" t="s">
        <v>9</v>
      </c>
      <c r="C1506" s="8">
        <v>1883</v>
      </c>
      <c r="D1506" s="9">
        <v>45395</v>
      </c>
      <c r="E1506" s="13" t="str">
        <f>+HYPERLINK("http://trademark.i-assist.jp/data/china/image_1883th/76392580.pdf","76392580")</f>
        <v>76392580</v>
      </c>
      <c r="F1506" s="7" t="s">
        <v>4147</v>
      </c>
      <c r="G1506" s="7" t="s">
        <v>4148</v>
      </c>
      <c r="H1506" s="7" t="s">
        <v>4149</v>
      </c>
      <c r="I1506" s="9">
        <v>45306</v>
      </c>
    </row>
    <row r="1507" spans="1:9" ht="27" x14ac:dyDescent="0.15">
      <c r="A1507" s="6">
        <v>1506</v>
      </c>
      <c r="B1507" s="7" t="s">
        <v>9</v>
      </c>
      <c r="C1507" s="8">
        <v>1883</v>
      </c>
      <c r="D1507" s="9">
        <v>45395</v>
      </c>
      <c r="E1507" s="13" t="str">
        <f>+HYPERLINK("http://trademark.i-assist.jp/data/china/image_1883th/76392759.pdf","76392759")</f>
        <v>76392759</v>
      </c>
      <c r="F1507" s="7" t="s">
        <v>4150</v>
      </c>
      <c r="G1507" s="7" t="s">
        <v>4151</v>
      </c>
      <c r="H1507" s="7" t="s">
        <v>4152</v>
      </c>
      <c r="I1507" s="9">
        <v>45306</v>
      </c>
    </row>
    <row r="1508" spans="1:9" x14ac:dyDescent="0.15">
      <c r="A1508" s="6">
        <v>1507</v>
      </c>
      <c r="B1508" s="7" t="s">
        <v>9</v>
      </c>
      <c r="C1508" s="8">
        <v>1883</v>
      </c>
      <c r="D1508" s="9">
        <v>45395</v>
      </c>
      <c r="E1508" s="13" t="str">
        <f>+HYPERLINK("http://trademark.i-assist.jp/data/china/image_1883th/76392848.pdf","76392848")</f>
        <v>76392848</v>
      </c>
      <c r="F1508" s="7" t="s">
        <v>4153</v>
      </c>
      <c r="G1508" s="7" t="s">
        <v>4154</v>
      </c>
      <c r="H1508" s="7" t="s">
        <v>4155</v>
      </c>
      <c r="I1508" s="9">
        <v>45306</v>
      </c>
    </row>
    <row r="1509" spans="1:9" x14ac:dyDescent="0.15">
      <c r="A1509" s="6">
        <v>1508</v>
      </c>
      <c r="B1509" s="7" t="s">
        <v>9</v>
      </c>
      <c r="C1509" s="8">
        <v>1883</v>
      </c>
      <c r="D1509" s="9">
        <v>45395</v>
      </c>
      <c r="E1509" s="13" t="str">
        <f>+HYPERLINK("http://trademark.i-assist.jp/data/china/image_1883th/76392969.pdf","76392969")</f>
        <v>76392969</v>
      </c>
      <c r="F1509" s="7" t="s">
        <v>4156</v>
      </c>
      <c r="G1509" s="7" t="s">
        <v>4157</v>
      </c>
      <c r="H1509" s="7" t="s">
        <v>4158</v>
      </c>
      <c r="I1509" s="9">
        <v>45306</v>
      </c>
    </row>
    <row r="1510" spans="1:9" x14ac:dyDescent="0.15">
      <c r="A1510" s="6">
        <v>1509</v>
      </c>
      <c r="B1510" s="7" t="s">
        <v>9</v>
      </c>
      <c r="C1510" s="8">
        <v>1883</v>
      </c>
      <c r="D1510" s="9">
        <v>45395</v>
      </c>
      <c r="E1510" s="13" t="str">
        <f>+HYPERLINK("http://trademark.i-assist.jp/data/china/image_1883th/76393236.pdf","76393236")</f>
        <v>76393236</v>
      </c>
      <c r="F1510" s="7" t="s">
        <v>4159</v>
      </c>
      <c r="G1510" s="7" t="s">
        <v>4160</v>
      </c>
      <c r="H1510" s="7" t="s">
        <v>4161</v>
      </c>
      <c r="I1510" s="9">
        <v>45306</v>
      </c>
    </row>
    <row r="1511" spans="1:9" ht="27" x14ac:dyDescent="0.15">
      <c r="A1511" s="6">
        <v>1510</v>
      </c>
      <c r="B1511" s="7" t="s">
        <v>9</v>
      </c>
      <c r="C1511" s="8">
        <v>1883</v>
      </c>
      <c r="D1511" s="9">
        <v>45395</v>
      </c>
      <c r="E1511" s="13" t="str">
        <f>+HYPERLINK("http://trademark.i-assist.jp/data/china/image_1883th/76393334.pdf","76393334")</f>
        <v>76393334</v>
      </c>
      <c r="F1511" s="7" t="s">
        <v>4162</v>
      </c>
      <c r="G1511" s="7" t="s">
        <v>4163</v>
      </c>
      <c r="H1511" s="7" t="s">
        <v>4164</v>
      </c>
      <c r="I1511" s="9">
        <v>45306</v>
      </c>
    </row>
    <row r="1512" spans="1:9" x14ac:dyDescent="0.15">
      <c r="A1512" s="6">
        <v>1511</v>
      </c>
      <c r="B1512" s="7" t="s">
        <v>9</v>
      </c>
      <c r="C1512" s="8">
        <v>1883</v>
      </c>
      <c r="D1512" s="9">
        <v>45395</v>
      </c>
      <c r="E1512" s="13" t="str">
        <f>+HYPERLINK("http://trademark.i-assist.jp/data/china/image_1883th/76393356.pdf","76393356")</f>
        <v>76393356</v>
      </c>
      <c r="F1512" s="7" t="s">
        <v>4165</v>
      </c>
      <c r="G1512" s="7" t="s">
        <v>4166</v>
      </c>
      <c r="H1512" s="7" t="s">
        <v>4167</v>
      </c>
      <c r="I1512" s="9">
        <v>45306</v>
      </c>
    </row>
    <row r="1513" spans="1:9" x14ac:dyDescent="0.15">
      <c r="A1513" s="6">
        <v>1512</v>
      </c>
      <c r="B1513" s="7" t="s">
        <v>9</v>
      </c>
      <c r="C1513" s="8">
        <v>1883</v>
      </c>
      <c r="D1513" s="9">
        <v>45395</v>
      </c>
      <c r="E1513" s="13" t="str">
        <f>+HYPERLINK("http://trademark.i-assist.jp/data/china/image_1883th/76393363.pdf","76393363")</f>
        <v>76393363</v>
      </c>
      <c r="F1513" s="7" t="s">
        <v>4168</v>
      </c>
      <c r="G1513" s="7" t="s">
        <v>4169</v>
      </c>
      <c r="H1513" s="7" t="s">
        <v>4170</v>
      </c>
      <c r="I1513" s="9">
        <v>45306</v>
      </c>
    </row>
    <row r="1514" spans="1:9" x14ac:dyDescent="0.15">
      <c r="A1514" s="6">
        <v>1513</v>
      </c>
      <c r="B1514" s="7" t="s">
        <v>9</v>
      </c>
      <c r="C1514" s="8">
        <v>1883</v>
      </c>
      <c r="D1514" s="9">
        <v>45395</v>
      </c>
      <c r="E1514" s="13" t="str">
        <f>+HYPERLINK("http://trademark.i-assist.jp/data/china/image_1883th/76393557.pdf","76393557")</f>
        <v>76393557</v>
      </c>
      <c r="F1514" s="7" t="s">
        <v>4171</v>
      </c>
      <c r="G1514" s="7" t="s">
        <v>3665</v>
      </c>
      <c r="H1514" s="7" t="s">
        <v>4172</v>
      </c>
      <c r="I1514" s="9">
        <v>45306</v>
      </c>
    </row>
    <row r="1515" spans="1:9" x14ac:dyDescent="0.15">
      <c r="A1515" s="6">
        <v>1514</v>
      </c>
      <c r="B1515" s="7" t="s">
        <v>9</v>
      </c>
      <c r="C1515" s="8">
        <v>1883</v>
      </c>
      <c r="D1515" s="9">
        <v>45395</v>
      </c>
      <c r="E1515" s="13" t="str">
        <f>+HYPERLINK("http://trademark.i-assist.jp/data/china/image_1883th/76393670.pdf","76393670")</f>
        <v>76393670</v>
      </c>
      <c r="F1515" s="7" t="s">
        <v>4173</v>
      </c>
      <c r="G1515" s="7" t="s">
        <v>4174</v>
      </c>
      <c r="H1515" s="7" t="s">
        <v>4175</v>
      </c>
      <c r="I1515" s="9">
        <v>45306</v>
      </c>
    </row>
    <row r="1516" spans="1:9" x14ac:dyDescent="0.15">
      <c r="A1516" s="6">
        <v>1515</v>
      </c>
      <c r="B1516" s="7" t="s">
        <v>9</v>
      </c>
      <c r="C1516" s="8">
        <v>1883</v>
      </c>
      <c r="D1516" s="9">
        <v>45395</v>
      </c>
      <c r="E1516" s="13" t="str">
        <f>+HYPERLINK("http://trademark.i-assist.jp/data/china/image_1883th/76393685.pdf","76393685")</f>
        <v>76393685</v>
      </c>
      <c r="F1516" s="7" t="s">
        <v>4176</v>
      </c>
      <c r="G1516" s="7" t="s">
        <v>4177</v>
      </c>
      <c r="H1516" s="7" t="s">
        <v>4178</v>
      </c>
      <c r="I1516" s="9">
        <v>45306</v>
      </c>
    </row>
    <row r="1517" spans="1:9" x14ac:dyDescent="0.15">
      <c r="A1517" s="6">
        <v>1516</v>
      </c>
      <c r="B1517" s="7" t="s">
        <v>9</v>
      </c>
      <c r="C1517" s="8">
        <v>1883</v>
      </c>
      <c r="D1517" s="9">
        <v>45395</v>
      </c>
      <c r="E1517" s="13" t="str">
        <f>+HYPERLINK("http://trademark.i-assist.jp/data/china/image_1883th/76393699.pdf","76393699")</f>
        <v>76393699</v>
      </c>
      <c r="F1517" s="7" t="s">
        <v>4179</v>
      </c>
      <c r="G1517" s="7" t="s">
        <v>4180</v>
      </c>
      <c r="H1517" s="7" t="s">
        <v>4181</v>
      </c>
      <c r="I1517" s="9">
        <v>45306</v>
      </c>
    </row>
    <row r="1518" spans="1:9" x14ac:dyDescent="0.15">
      <c r="A1518" s="6">
        <v>1517</v>
      </c>
      <c r="B1518" s="7" t="s">
        <v>9</v>
      </c>
      <c r="C1518" s="8">
        <v>1883</v>
      </c>
      <c r="D1518" s="9">
        <v>45395</v>
      </c>
      <c r="E1518" s="13" t="str">
        <f>+HYPERLINK("http://trademark.i-assist.jp/data/china/image_1883th/76393730.pdf","76393730")</f>
        <v>76393730</v>
      </c>
      <c r="F1518" s="7" t="s">
        <v>4182</v>
      </c>
      <c r="G1518" s="7" t="s">
        <v>4183</v>
      </c>
      <c r="H1518" s="7" t="s">
        <v>4184</v>
      </c>
      <c r="I1518" s="9">
        <v>45306</v>
      </c>
    </row>
    <row r="1519" spans="1:9" x14ac:dyDescent="0.15">
      <c r="A1519" s="6">
        <v>1518</v>
      </c>
      <c r="B1519" s="7" t="s">
        <v>9</v>
      </c>
      <c r="C1519" s="8">
        <v>1883</v>
      </c>
      <c r="D1519" s="9">
        <v>45395</v>
      </c>
      <c r="E1519" s="13" t="str">
        <f>+HYPERLINK("http://trademark.i-assist.jp/data/china/image_1883th/76393739.pdf","76393739")</f>
        <v>76393739</v>
      </c>
      <c r="F1519" s="7" t="s">
        <v>4185</v>
      </c>
      <c r="G1519" s="7" t="s">
        <v>4186</v>
      </c>
      <c r="H1519" s="7" t="s">
        <v>4187</v>
      </c>
      <c r="I1519" s="9">
        <v>45306</v>
      </c>
    </row>
    <row r="1520" spans="1:9" x14ac:dyDescent="0.15">
      <c r="A1520" s="6">
        <v>1519</v>
      </c>
      <c r="B1520" s="7" t="s">
        <v>9</v>
      </c>
      <c r="C1520" s="8">
        <v>1883</v>
      </c>
      <c r="D1520" s="9">
        <v>45395</v>
      </c>
      <c r="E1520" s="13" t="str">
        <f>+HYPERLINK("http://trademark.i-assist.jp/data/china/image_1883th/76393966.pdf","76393966")</f>
        <v>76393966</v>
      </c>
      <c r="F1520" s="7" t="s">
        <v>4188</v>
      </c>
      <c r="G1520" s="7" t="s">
        <v>4189</v>
      </c>
      <c r="H1520" s="7" t="s">
        <v>4190</v>
      </c>
      <c r="I1520" s="9">
        <v>45306</v>
      </c>
    </row>
    <row r="1521" spans="1:9" x14ac:dyDescent="0.15">
      <c r="A1521" s="6">
        <v>1520</v>
      </c>
      <c r="B1521" s="7" t="s">
        <v>9</v>
      </c>
      <c r="C1521" s="8">
        <v>1883</v>
      </c>
      <c r="D1521" s="9">
        <v>45395</v>
      </c>
      <c r="E1521" s="13" t="str">
        <f>+HYPERLINK("http://trademark.i-assist.jp/data/china/image_1883th/76393990.pdf","76393990")</f>
        <v>76393990</v>
      </c>
      <c r="F1521" s="7" t="s">
        <v>4191</v>
      </c>
      <c r="G1521" s="7" t="s">
        <v>4192</v>
      </c>
      <c r="H1521" s="7" t="s">
        <v>4193</v>
      </c>
      <c r="I1521" s="9">
        <v>45306</v>
      </c>
    </row>
    <row r="1522" spans="1:9" x14ac:dyDescent="0.15">
      <c r="A1522" s="6">
        <v>1521</v>
      </c>
      <c r="B1522" s="7" t="s">
        <v>9</v>
      </c>
      <c r="C1522" s="8">
        <v>1883</v>
      </c>
      <c r="D1522" s="9">
        <v>45395</v>
      </c>
      <c r="E1522" s="13" t="str">
        <f>+HYPERLINK("http://trademark.i-assist.jp/data/china/image_1883th/76394048.pdf","76394048")</f>
        <v>76394048</v>
      </c>
      <c r="F1522" s="7" t="s">
        <v>4194</v>
      </c>
      <c r="G1522" s="7" t="s">
        <v>4195</v>
      </c>
      <c r="H1522" s="7" t="s">
        <v>4196</v>
      </c>
      <c r="I1522" s="9">
        <v>45306</v>
      </c>
    </row>
    <row r="1523" spans="1:9" x14ac:dyDescent="0.15">
      <c r="A1523" s="6">
        <v>1522</v>
      </c>
      <c r="B1523" s="7" t="s">
        <v>9</v>
      </c>
      <c r="C1523" s="8">
        <v>1883</v>
      </c>
      <c r="D1523" s="9">
        <v>45395</v>
      </c>
      <c r="E1523" s="13" t="str">
        <f>+HYPERLINK("http://trademark.i-assist.jp/data/china/image_1883th/76394401.pdf","76394401")</f>
        <v>76394401</v>
      </c>
      <c r="F1523" s="7" t="s">
        <v>4197</v>
      </c>
      <c r="G1523" s="7" t="s">
        <v>4198</v>
      </c>
      <c r="H1523" s="7" t="s">
        <v>4199</v>
      </c>
      <c r="I1523" s="9">
        <v>45306</v>
      </c>
    </row>
    <row r="1524" spans="1:9" x14ac:dyDescent="0.15">
      <c r="A1524" s="6">
        <v>1523</v>
      </c>
      <c r="B1524" s="7" t="s">
        <v>9</v>
      </c>
      <c r="C1524" s="8">
        <v>1883</v>
      </c>
      <c r="D1524" s="9">
        <v>45395</v>
      </c>
      <c r="E1524" s="13" t="str">
        <f>+HYPERLINK("http://trademark.i-assist.jp/data/china/image_1883th/76394420.pdf","76394420")</f>
        <v>76394420</v>
      </c>
      <c r="F1524" s="7" t="s">
        <v>4200</v>
      </c>
      <c r="G1524" s="7" t="s">
        <v>4201</v>
      </c>
      <c r="H1524" s="7" t="s">
        <v>4202</v>
      </c>
      <c r="I1524" s="9">
        <v>45306</v>
      </c>
    </row>
    <row r="1525" spans="1:9" ht="27" x14ac:dyDescent="0.15">
      <c r="A1525" s="6">
        <v>1524</v>
      </c>
      <c r="B1525" s="7" t="s">
        <v>9</v>
      </c>
      <c r="C1525" s="8">
        <v>1883</v>
      </c>
      <c r="D1525" s="9">
        <v>45395</v>
      </c>
      <c r="E1525" s="13" t="str">
        <f>+HYPERLINK("http://trademark.i-assist.jp/data/china/image_1883th/76394481.pdf","76394481")</f>
        <v>76394481</v>
      </c>
      <c r="F1525" s="7" t="s">
        <v>4203</v>
      </c>
      <c r="G1525" s="7" t="s">
        <v>4204</v>
      </c>
      <c r="H1525" s="7" t="s">
        <v>4205</v>
      </c>
      <c r="I1525" s="9">
        <v>45306</v>
      </c>
    </row>
    <row r="1526" spans="1:9" x14ac:dyDescent="0.15">
      <c r="A1526" s="6">
        <v>1525</v>
      </c>
      <c r="B1526" s="7" t="s">
        <v>9</v>
      </c>
      <c r="C1526" s="8">
        <v>1883</v>
      </c>
      <c r="D1526" s="9">
        <v>45395</v>
      </c>
      <c r="E1526" s="13" t="str">
        <f>+HYPERLINK("http://trademark.i-assist.jp/data/china/image_1883th/76394918.pdf","76394918")</f>
        <v>76394918</v>
      </c>
      <c r="F1526" s="7" t="s">
        <v>4206</v>
      </c>
      <c r="G1526" s="7" t="s">
        <v>4207</v>
      </c>
      <c r="H1526" s="7" t="s">
        <v>4208</v>
      </c>
      <c r="I1526" s="9">
        <v>45306</v>
      </c>
    </row>
    <row r="1527" spans="1:9" x14ac:dyDescent="0.15">
      <c r="A1527" s="6">
        <v>1526</v>
      </c>
      <c r="B1527" s="7" t="s">
        <v>9</v>
      </c>
      <c r="C1527" s="8">
        <v>1883</v>
      </c>
      <c r="D1527" s="9">
        <v>45395</v>
      </c>
      <c r="E1527" s="13" t="str">
        <f>+HYPERLINK("http://trademark.i-assist.jp/data/china/image_1883th/76395147.pdf","76395147")</f>
        <v>76395147</v>
      </c>
      <c r="F1527" s="7" t="s">
        <v>4209</v>
      </c>
      <c r="G1527" s="7" t="s">
        <v>4210</v>
      </c>
      <c r="H1527" s="7" t="s">
        <v>4211</v>
      </c>
      <c r="I1527" s="9">
        <v>45306</v>
      </c>
    </row>
    <row r="1528" spans="1:9" ht="27" x14ac:dyDescent="0.15">
      <c r="A1528" s="6">
        <v>1527</v>
      </c>
      <c r="B1528" s="7" t="s">
        <v>9</v>
      </c>
      <c r="C1528" s="8">
        <v>1883</v>
      </c>
      <c r="D1528" s="9">
        <v>45395</v>
      </c>
      <c r="E1528" s="13" t="str">
        <f>+HYPERLINK("http://trademark.i-assist.jp/data/china/image_1883th/76395324.pdf","76395324")</f>
        <v>76395324</v>
      </c>
      <c r="F1528" s="7" t="s">
        <v>4212</v>
      </c>
      <c r="G1528" s="7" t="s">
        <v>4163</v>
      </c>
      <c r="H1528" s="7" t="s">
        <v>4213</v>
      </c>
      <c r="I1528" s="9">
        <v>45306</v>
      </c>
    </row>
    <row r="1529" spans="1:9" x14ac:dyDescent="0.15">
      <c r="A1529" s="6">
        <v>1528</v>
      </c>
      <c r="B1529" s="7" t="s">
        <v>9</v>
      </c>
      <c r="C1529" s="8">
        <v>1883</v>
      </c>
      <c r="D1529" s="9">
        <v>45395</v>
      </c>
      <c r="E1529" s="13" t="str">
        <f>+HYPERLINK("http://trademark.i-assist.jp/data/china/image_1883th/76395329.pdf","76395329")</f>
        <v>76395329</v>
      </c>
      <c r="F1529" s="7" t="s">
        <v>4214</v>
      </c>
      <c r="G1529" s="7" t="s">
        <v>4166</v>
      </c>
      <c r="H1529" s="7" t="s">
        <v>4215</v>
      </c>
      <c r="I1529" s="9">
        <v>45306</v>
      </c>
    </row>
    <row r="1530" spans="1:9" x14ac:dyDescent="0.15">
      <c r="A1530" s="6">
        <v>1529</v>
      </c>
      <c r="B1530" s="7" t="s">
        <v>9</v>
      </c>
      <c r="C1530" s="8">
        <v>1883</v>
      </c>
      <c r="D1530" s="9">
        <v>45395</v>
      </c>
      <c r="E1530" s="13" t="str">
        <f>+HYPERLINK("http://trademark.i-assist.jp/data/china/image_1883th/76395367.pdf","76395367")</f>
        <v>76395367</v>
      </c>
      <c r="F1530" s="7" t="s">
        <v>4216</v>
      </c>
      <c r="G1530" s="7" t="s">
        <v>4217</v>
      </c>
      <c r="H1530" s="7" t="s">
        <v>4218</v>
      </c>
      <c r="I1530" s="9">
        <v>45306</v>
      </c>
    </row>
    <row r="1531" spans="1:9" x14ac:dyDescent="0.15">
      <c r="A1531" s="6">
        <v>1530</v>
      </c>
      <c r="B1531" s="7" t="s">
        <v>9</v>
      </c>
      <c r="C1531" s="8">
        <v>1883</v>
      </c>
      <c r="D1531" s="9">
        <v>45395</v>
      </c>
      <c r="E1531" s="13" t="str">
        <f>+HYPERLINK("http://trademark.i-assist.jp/data/china/image_1883th/76395419.pdf","76395419")</f>
        <v>76395419</v>
      </c>
      <c r="F1531" s="7" t="s">
        <v>4219</v>
      </c>
      <c r="G1531" s="7" t="s">
        <v>4220</v>
      </c>
      <c r="H1531" s="7" t="s">
        <v>4221</v>
      </c>
      <c r="I1531" s="9">
        <v>45306</v>
      </c>
    </row>
    <row r="1532" spans="1:9" x14ac:dyDescent="0.15">
      <c r="A1532" s="6">
        <v>1531</v>
      </c>
      <c r="B1532" s="7" t="s">
        <v>9</v>
      </c>
      <c r="C1532" s="8">
        <v>1883</v>
      </c>
      <c r="D1532" s="9">
        <v>45395</v>
      </c>
      <c r="E1532" s="13" t="str">
        <f>+HYPERLINK("http://trademark.i-assist.jp/data/china/image_1883th/76395543.pdf","76395543")</f>
        <v>76395543</v>
      </c>
      <c r="F1532" s="7" t="s">
        <v>4222</v>
      </c>
      <c r="G1532" s="7" t="s">
        <v>4223</v>
      </c>
      <c r="H1532" s="7" t="s">
        <v>4224</v>
      </c>
      <c r="I1532" s="9">
        <v>45306</v>
      </c>
    </row>
    <row r="1533" spans="1:9" x14ac:dyDescent="0.15">
      <c r="A1533" s="6">
        <v>1532</v>
      </c>
      <c r="B1533" s="7" t="s">
        <v>9</v>
      </c>
      <c r="C1533" s="8">
        <v>1883</v>
      </c>
      <c r="D1533" s="9">
        <v>45395</v>
      </c>
      <c r="E1533" s="13" t="str">
        <f>+HYPERLINK("http://trademark.i-assist.jp/data/china/image_1883th/76395773.pdf","76395773")</f>
        <v>76395773</v>
      </c>
      <c r="F1533" s="7" t="s">
        <v>4225</v>
      </c>
      <c r="G1533" s="7" t="s">
        <v>4226</v>
      </c>
      <c r="H1533" s="7" t="s">
        <v>4227</v>
      </c>
      <c r="I1533" s="9">
        <v>45306</v>
      </c>
    </row>
    <row r="1534" spans="1:9" x14ac:dyDescent="0.15">
      <c r="A1534" s="6">
        <v>1533</v>
      </c>
      <c r="B1534" s="7" t="s">
        <v>9</v>
      </c>
      <c r="C1534" s="8">
        <v>1883</v>
      </c>
      <c r="D1534" s="9">
        <v>45395</v>
      </c>
      <c r="E1534" s="13" t="str">
        <f>+HYPERLINK("http://trademark.i-assist.jp/data/china/image_1883th/76395811.pdf","76395811")</f>
        <v>76395811</v>
      </c>
      <c r="F1534" s="7" t="s">
        <v>4228</v>
      </c>
      <c r="G1534" s="7" t="s">
        <v>4229</v>
      </c>
      <c r="H1534" s="7" t="s">
        <v>4230</v>
      </c>
      <c r="I1534" s="9">
        <v>45306</v>
      </c>
    </row>
    <row r="1535" spans="1:9" x14ac:dyDescent="0.15">
      <c r="A1535" s="6">
        <v>1534</v>
      </c>
      <c r="B1535" s="7" t="s">
        <v>9</v>
      </c>
      <c r="C1535" s="8">
        <v>1883</v>
      </c>
      <c r="D1535" s="9">
        <v>45395</v>
      </c>
      <c r="E1535" s="13" t="str">
        <f>+HYPERLINK("http://trademark.i-assist.jp/data/china/image_1883th/76396562.pdf","76396562")</f>
        <v>76396562</v>
      </c>
      <c r="F1535" s="7" t="s">
        <v>4231</v>
      </c>
      <c r="G1535" s="7" t="s">
        <v>4232</v>
      </c>
      <c r="H1535" s="7" t="s">
        <v>4233</v>
      </c>
      <c r="I1535" s="9">
        <v>45306</v>
      </c>
    </row>
    <row r="1536" spans="1:9" x14ac:dyDescent="0.15">
      <c r="A1536" s="6">
        <v>1535</v>
      </c>
      <c r="B1536" s="7" t="s">
        <v>9</v>
      </c>
      <c r="C1536" s="8">
        <v>1883</v>
      </c>
      <c r="D1536" s="9">
        <v>45395</v>
      </c>
      <c r="E1536" s="13" t="str">
        <f>+HYPERLINK("http://trademark.i-assist.jp/data/china/image_1883th/76396718.pdf","76396718")</f>
        <v>76396718</v>
      </c>
      <c r="F1536" s="7" t="s">
        <v>4234</v>
      </c>
      <c r="G1536" s="7" t="s">
        <v>4235</v>
      </c>
      <c r="H1536" s="7" t="s">
        <v>4236</v>
      </c>
      <c r="I1536" s="9">
        <v>45306</v>
      </c>
    </row>
    <row r="1537" spans="1:9" x14ac:dyDescent="0.15">
      <c r="A1537" s="6">
        <v>1536</v>
      </c>
      <c r="B1537" s="7" t="s">
        <v>9</v>
      </c>
      <c r="C1537" s="8">
        <v>1883</v>
      </c>
      <c r="D1537" s="9">
        <v>45395</v>
      </c>
      <c r="E1537" s="13" t="str">
        <f>+HYPERLINK("http://trademark.i-assist.jp/data/china/image_1883th/76396825.pdf","76396825")</f>
        <v>76396825</v>
      </c>
      <c r="F1537" s="7" t="s">
        <v>4237</v>
      </c>
      <c r="G1537" s="7" t="s">
        <v>4238</v>
      </c>
      <c r="H1537" s="7" t="s">
        <v>4239</v>
      </c>
      <c r="I1537" s="9">
        <v>45306</v>
      </c>
    </row>
    <row r="1538" spans="1:9" x14ac:dyDescent="0.15">
      <c r="A1538" s="6">
        <v>1537</v>
      </c>
      <c r="B1538" s="7" t="s">
        <v>9</v>
      </c>
      <c r="C1538" s="8">
        <v>1883</v>
      </c>
      <c r="D1538" s="9">
        <v>45395</v>
      </c>
      <c r="E1538" s="13" t="str">
        <f>+HYPERLINK("http://trademark.i-assist.jp/data/china/image_1883th/76396831.pdf","76396831")</f>
        <v>76396831</v>
      </c>
      <c r="F1538" s="7" t="s">
        <v>4240</v>
      </c>
      <c r="G1538" s="7" t="s">
        <v>4241</v>
      </c>
      <c r="H1538" s="7" t="s">
        <v>4242</v>
      </c>
      <c r="I1538" s="9">
        <v>45306</v>
      </c>
    </row>
    <row r="1539" spans="1:9" x14ac:dyDescent="0.15">
      <c r="A1539" s="6">
        <v>1538</v>
      </c>
      <c r="B1539" s="7" t="s">
        <v>9</v>
      </c>
      <c r="C1539" s="8">
        <v>1883</v>
      </c>
      <c r="D1539" s="9">
        <v>45395</v>
      </c>
      <c r="E1539" s="13" t="str">
        <f>+HYPERLINK("http://trademark.i-assist.jp/data/china/image_1883th/76396833.pdf","76396833")</f>
        <v>76396833</v>
      </c>
      <c r="F1539" s="7" t="s">
        <v>4243</v>
      </c>
      <c r="G1539" s="7" t="s">
        <v>4244</v>
      </c>
      <c r="H1539" s="7" t="s">
        <v>4245</v>
      </c>
      <c r="I1539" s="9">
        <v>45306</v>
      </c>
    </row>
    <row r="1540" spans="1:9" x14ac:dyDescent="0.15">
      <c r="A1540" s="6">
        <v>1539</v>
      </c>
      <c r="B1540" s="7" t="s">
        <v>9</v>
      </c>
      <c r="C1540" s="8">
        <v>1883</v>
      </c>
      <c r="D1540" s="9">
        <v>45395</v>
      </c>
      <c r="E1540" s="13" t="str">
        <f>+HYPERLINK("http://trademark.i-assist.jp/data/china/image_1883th/76396840.pdf","76396840")</f>
        <v>76396840</v>
      </c>
      <c r="F1540" s="7" t="s">
        <v>4246</v>
      </c>
      <c r="G1540" s="7" t="s">
        <v>4247</v>
      </c>
      <c r="H1540" s="7" t="s">
        <v>4248</v>
      </c>
      <c r="I1540" s="9">
        <v>45306</v>
      </c>
    </row>
    <row r="1541" spans="1:9" x14ac:dyDescent="0.15">
      <c r="A1541" s="6">
        <v>1540</v>
      </c>
      <c r="B1541" s="7" t="s">
        <v>9</v>
      </c>
      <c r="C1541" s="8">
        <v>1883</v>
      </c>
      <c r="D1541" s="9">
        <v>45395</v>
      </c>
      <c r="E1541" s="13" t="str">
        <f>+HYPERLINK("http://trademark.i-assist.jp/data/china/image_1883th/76396924.pdf","76396924")</f>
        <v>76396924</v>
      </c>
      <c r="F1541" s="7" t="s">
        <v>4249</v>
      </c>
      <c r="G1541" s="7" t="s">
        <v>4250</v>
      </c>
      <c r="H1541" s="7" t="s">
        <v>4251</v>
      </c>
      <c r="I1541" s="9">
        <v>45306</v>
      </c>
    </row>
    <row r="1542" spans="1:9" x14ac:dyDescent="0.15">
      <c r="A1542" s="6">
        <v>1541</v>
      </c>
      <c r="B1542" s="7" t="s">
        <v>9</v>
      </c>
      <c r="C1542" s="8">
        <v>1883</v>
      </c>
      <c r="D1542" s="9">
        <v>45395</v>
      </c>
      <c r="E1542" s="13" t="str">
        <f>+HYPERLINK("http://trademark.i-assist.jp/data/china/image_1883th/76396929.pdf","76396929")</f>
        <v>76396929</v>
      </c>
      <c r="F1542" s="7" t="s">
        <v>4252</v>
      </c>
      <c r="G1542" s="7" t="s">
        <v>4253</v>
      </c>
      <c r="H1542" s="7" t="s">
        <v>4254</v>
      </c>
      <c r="I1542" s="9">
        <v>45306</v>
      </c>
    </row>
    <row r="1543" spans="1:9" x14ac:dyDescent="0.15">
      <c r="A1543" s="6">
        <v>1542</v>
      </c>
      <c r="B1543" s="7" t="s">
        <v>9</v>
      </c>
      <c r="C1543" s="8">
        <v>1883</v>
      </c>
      <c r="D1543" s="9">
        <v>45395</v>
      </c>
      <c r="E1543" s="13" t="str">
        <f>+HYPERLINK("http://trademark.i-assist.jp/data/china/image_1883th/76396986.pdf","76396986")</f>
        <v>76396986</v>
      </c>
      <c r="F1543" s="7" t="s">
        <v>4255</v>
      </c>
      <c r="G1543" s="7" t="s">
        <v>4256</v>
      </c>
      <c r="H1543" s="7" t="s">
        <v>4257</v>
      </c>
      <c r="I1543" s="9">
        <v>45306</v>
      </c>
    </row>
    <row r="1544" spans="1:9" x14ac:dyDescent="0.15">
      <c r="A1544" s="6">
        <v>1543</v>
      </c>
      <c r="B1544" s="7" t="s">
        <v>9</v>
      </c>
      <c r="C1544" s="8">
        <v>1883</v>
      </c>
      <c r="D1544" s="9">
        <v>45395</v>
      </c>
      <c r="E1544" s="13" t="str">
        <f>+HYPERLINK("http://trademark.i-assist.jp/data/china/image_1883th/76397013.pdf","76397013")</f>
        <v>76397013</v>
      </c>
      <c r="F1544" s="7" t="s">
        <v>4258</v>
      </c>
      <c r="G1544" s="7" t="s">
        <v>4259</v>
      </c>
      <c r="H1544" s="7" t="s">
        <v>4260</v>
      </c>
      <c r="I1544" s="9">
        <v>45306</v>
      </c>
    </row>
    <row r="1545" spans="1:9" x14ac:dyDescent="0.15">
      <c r="A1545" s="6">
        <v>1544</v>
      </c>
      <c r="B1545" s="7" t="s">
        <v>9</v>
      </c>
      <c r="C1545" s="8">
        <v>1883</v>
      </c>
      <c r="D1545" s="9">
        <v>45395</v>
      </c>
      <c r="E1545" s="13" t="str">
        <f>+HYPERLINK("http://trademark.i-assist.jp/data/china/image_1883th/76397069.pdf","76397069")</f>
        <v>76397069</v>
      </c>
      <c r="F1545" s="7" t="s">
        <v>4261</v>
      </c>
      <c r="G1545" s="7" t="s">
        <v>4207</v>
      </c>
      <c r="H1545" s="7" t="s">
        <v>4262</v>
      </c>
      <c r="I1545" s="9">
        <v>45306</v>
      </c>
    </row>
    <row r="1546" spans="1:9" ht="27" x14ac:dyDescent="0.15">
      <c r="A1546" s="6">
        <v>1545</v>
      </c>
      <c r="B1546" s="7" t="s">
        <v>9</v>
      </c>
      <c r="C1546" s="8">
        <v>1883</v>
      </c>
      <c r="D1546" s="9">
        <v>45395</v>
      </c>
      <c r="E1546" s="13" t="str">
        <f>+HYPERLINK("http://trademark.i-assist.jp/data/china/image_1883th/76397318.pdf","76397318")</f>
        <v>76397318</v>
      </c>
      <c r="F1546" s="7" t="s">
        <v>4263</v>
      </c>
      <c r="G1546" s="7" t="s">
        <v>4264</v>
      </c>
      <c r="H1546" s="7" t="s">
        <v>4265</v>
      </c>
      <c r="I1546" s="9">
        <v>45306</v>
      </c>
    </row>
    <row r="1547" spans="1:9" x14ac:dyDescent="0.15">
      <c r="A1547" s="6">
        <v>1546</v>
      </c>
      <c r="B1547" s="7" t="s">
        <v>9</v>
      </c>
      <c r="C1547" s="8">
        <v>1883</v>
      </c>
      <c r="D1547" s="9">
        <v>45395</v>
      </c>
      <c r="E1547" s="13" t="str">
        <f>+HYPERLINK("http://trademark.i-assist.jp/data/china/image_1883th/76397507.pdf","76397507")</f>
        <v>76397507</v>
      </c>
      <c r="F1547" s="7" t="s">
        <v>4266</v>
      </c>
      <c r="G1547" s="7" t="s">
        <v>4267</v>
      </c>
      <c r="H1547" s="7" t="s">
        <v>4268</v>
      </c>
      <c r="I1547" s="9">
        <v>45306</v>
      </c>
    </row>
    <row r="1548" spans="1:9" x14ac:dyDescent="0.15">
      <c r="A1548" s="6">
        <v>1547</v>
      </c>
      <c r="B1548" s="7" t="s">
        <v>9</v>
      </c>
      <c r="C1548" s="8">
        <v>1883</v>
      </c>
      <c r="D1548" s="9">
        <v>45395</v>
      </c>
      <c r="E1548" s="13" t="str">
        <f>+HYPERLINK("http://trademark.i-assist.jp/data/china/image_1883th/76397586.pdf","76397586")</f>
        <v>76397586</v>
      </c>
      <c r="F1548" s="7" t="s">
        <v>4269</v>
      </c>
      <c r="G1548" s="7" t="s">
        <v>4270</v>
      </c>
      <c r="H1548" s="7" t="s">
        <v>4271</v>
      </c>
      <c r="I1548" s="9">
        <v>45306</v>
      </c>
    </row>
    <row r="1549" spans="1:9" x14ac:dyDescent="0.15">
      <c r="A1549" s="6">
        <v>1548</v>
      </c>
      <c r="B1549" s="7" t="s">
        <v>9</v>
      </c>
      <c r="C1549" s="8">
        <v>1883</v>
      </c>
      <c r="D1549" s="9">
        <v>45395</v>
      </c>
      <c r="E1549" s="13" t="str">
        <f>+HYPERLINK("http://trademark.i-assist.jp/data/china/image_1883th/76397605.pdf","76397605")</f>
        <v>76397605</v>
      </c>
      <c r="F1549" s="7" t="s">
        <v>4272</v>
      </c>
      <c r="G1549" s="7" t="s">
        <v>4273</v>
      </c>
      <c r="H1549" s="7" t="s">
        <v>4274</v>
      </c>
      <c r="I1549" s="9">
        <v>45306</v>
      </c>
    </row>
    <row r="1550" spans="1:9" x14ac:dyDescent="0.15">
      <c r="A1550" s="6">
        <v>1549</v>
      </c>
      <c r="B1550" s="7" t="s">
        <v>9</v>
      </c>
      <c r="C1550" s="8">
        <v>1883</v>
      </c>
      <c r="D1550" s="9">
        <v>45395</v>
      </c>
      <c r="E1550" s="13" t="str">
        <f>+HYPERLINK("http://trademark.i-assist.jp/data/china/image_1883th/76397696.pdf","76397696")</f>
        <v>76397696</v>
      </c>
      <c r="F1550" s="7" t="s">
        <v>4275</v>
      </c>
      <c r="G1550" s="7" t="s">
        <v>4276</v>
      </c>
      <c r="H1550" s="7" t="s">
        <v>4277</v>
      </c>
      <c r="I1550" s="9">
        <v>45306</v>
      </c>
    </row>
    <row r="1551" spans="1:9" ht="27" x14ac:dyDescent="0.15">
      <c r="A1551" s="6">
        <v>1550</v>
      </c>
      <c r="B1551" s="7" t="s">
        <v>9</v>
      </c>
      <c r="C1551" s="8">
        <v>1883</v>
      </c>
      <c r="D1551" s="9">
        <v>45395</v>
      </c>
      <c r="E1551" s="13" t="str">
        <f>+HYPERLINK("http://trademark.i-assist.jp/data/china/image_1883th/76397743.pdf","76397743")</f>
        <v>76397743</v>
      </c>
      <c r="F1551" s="7" t="s">
        <v>4278</v>
      </c>
      <c r="G1551" s="7" t="s">
        <v>4279</v>
      </c>
      <c r="H1551" s="7" t="s">
        <v>4280</v>
      </c>
      <c r="I1551" s="9">
        <v>45306</v>
      </c>
    </row>
    <row r="1552" spans="1:9" x14ac:dyDescent="0.15">
      <c r="A1552" s="6">
        <v>1551</v>
      </c>
      <c r="B1552" s="7" t="s">
        <v>9</v>
      </c>
      <c r="C1552" s="8">
        <v>1883</v>
      </c>
      <c r="D1552" s="9">
        <v>45395</v>
      </c>
      <c r="E1552" s="13" t="str">
        <f>+HYPERLINK("http://trademark.i-assist.jp/data/china/image_1883th/76398036.pdf","76398036")</f>
        <v>76398036</v>
      </c>
      <c r="F1552" s="7" t="s">
        <v>4281</v>
      </c>
      <c r="G1552" s="7" t="s">
        <v>3906</v>
      </c>
      <c r="H1552" s="7" t="s">
        <v>4282</v>
      </c>
      <c r="I1552" s="9">
        <v>45306</v>
      </c>
    </row>
    <row r="1553" spans="1:9" x14ac:dyDescent="0.15">
      <c r="A1553" s="6">
        <v>1552</v>
      </c>
      <c r="B1553" s="7" t="s">
        <v>9</v>
      </c>
      <c r="C1553" s="8">
        <v>1883</v>
      </c>
      <c r="D1553" s="9">
        <v>45395</v>
      </c>
      <c r="E1553" s="13" t="str">
        <f>+HYPERLINK("http://trademark.i-assist.jp/data/china/image_1883th/76398263.pdf","76398263")</f>
        <v>76398263</v>
      </c>
      <c r="F1553" s="7" t="s">
        <v>4283</v>
      </c>
      <c r="G1553" s="7" t="s">
        <v>4284</v>
      </c>
      <c r="H1553" s="7" t="s">
        <v>4285</v>
      </c>
      <c r="I1553" s="9">
        <v>45306</v>
      </c>
    </row>
    <row r="1554" spans="1:9" x14ac:dyDescent="0.15">
      <c r="A1554" s="6">
        <v>1553</v>
      </c>
      <c r="B1554" s="7" t="s">
        <v>9</v>
      </c>
      <c r="C1554" s="8">
        <v>1883</v>
      </c>
      <c r="D1554" s="9">
        <v>45395</v>
      </c>
      <c r="E1554" s="13" t="str">
        <f>+HYPERLINK("http://trademark.i-assist.jp/data/china/image_1883th/76398321.pdf","76398321")</f>
        <v>76398321</v>
      </c>
      <c r="F1554" s="7" t="s">
        <v>4286</v>
      </c>
      <c r="G1554" s="7" t="s">
        <v>4287</v>
      </c>
      <c r="H1554" s="7" t="s">
        <v>4288</v>
      </c>
      <c r="I1554" s="9">
        <v>45306</v>
      </c>
    </row>
    <row r="1555" spans="1:9" x14ac:dyDescent="0.15">
      <c r="A1555" s="6">
        <v>1554</v>
      </c>
      <c r="B1555" s="7" t="s">
        <v>9</v>
      </c>
      <c r="C1555" s="8">
        <v>1883</v>
      </c>
      <c r="D1555" s="9">
        <v>45395</v>
      </c>
      <c r="E1555" s="13" t="str">
        <f>+HYPERLINK("http://trademark.i-assist.jp/data/china/image_1883th/76398339.pdf","76398339")</f>
        <v>76398339</v>
      </c>
      <c r="F1555" s="7" t="s">
        <v>4289</v>
      </c>
      <c r="G1555" s="7" t="s">
        <v>2259</v>
      </c>
      <c r="H1555" s="7" t="s">
        <v>1178</v>
      </c>
      <c r="I1555" s="9">
        <v>45306</v>
      </c>
    </row>
    <row r="1556" spans="1:9" x14ac:dyDescent="0.15">
      <c r="A1556" s="6">
        <v>1555</v>
      </c>
      <c r="B1556" s="7" t="s">
        <v>9</v>
      </c>
      <c r="C1556" s="8">
        <v>1883</v>
      </c>
      <c r="D1556" s="9">
        <v>45395</v>
      </c>
      <c r="E1556" s="13" t="str">
        <f>+HYPERLINK("http://trademark.i-assist.jp/data/china/image_1883th/76398625.pdf","76398625")</f>
        <v>76398625</v>
      </c>
      <c r="F1556" s="7" t="s">
        <v>4290</v>
      </c>
      <c r="G1556" s="7" t="s">
        <v>4291</v>
      </c>
      <c r="H1556" s="7" t="s">
        <v>4292</v>
      </c>
      <c r="I1556" s="9">
        <v>45306</v>
      </c>
    </row>
    <row r="1557" spans="1:9" ht="27" x14ac:dyDescent="0.15">
      <c r="A1557" s="6">
        <v>1556</v>
      </c>
      <c r="B1557" s="7" t="s">
        <v>9</v>
      </c>
      <c r="C1557" s="8">
        <v>1883</v>
      </c>
      <c r="D1557" s="9">
        <v>45395</v>
      </c>
      <c r="E1557" s="13" t="str">
        <f>+HYPERLINK("http://trademark.i-assist.jp/data/china/image_1883th/76398664.pdf","76398664")</f>
        <v>76398664</v>
      </c>
      <c r="F1557" s="7" t="s">
        <v>4293</v>
      </c>
      <c r="G1557" s="7" t="s">
        <v>4294</v>
      </c>
      <c r="H1557" s="7" t="s">
        <v>4295</v>
      </c>
      <c r="I1557" s="9">
        <v>45306</v>
      </c>
    </row>
    <row r="1558" spans="1:9" x14ac:dyDescent="0.15">
      <c r="A1558" s="6">
        <v>1557</v>
      </c>
      <c r="B1558" s="7" t="s">
        <v>9</v>
      </c>
      <c r="C1558" s="8">
        <v>1883</v>
      </c>
      <c r="D1558" s="9">
        <v>45395</v>
      </c>
      <c r="E1558" s="13" t="str">
        <f>+HYPERLINK("http://trademark.i-assist.jp/data/china/image_1883th/76398802.pdf","76398802")</f>
        <v>76398802</v>
      </c>
      <c r="F1558" s="7" t="s">
        <v>4296</v>
      </c>
      <c r="G1558" s="7" t="s">
        <v>4297</v>
      </c>
      <c r="H1558" s="7" t="s">
        <v>4298</v>
      </c>
      <c r="I1558" s="9">
        <v>45306</v>
      </c>
    </row>
    <row r="1559" spans="1:9" ht="27" x14ac:dyDescent="0.15">
      <c r="A1559" s="6">
        <v>1558</v>
      </c>
      <c r="B1559" s="7" t="s">
        <v>9</v>
      </c>
      <c r="C1559" s="8">
        <v>1883</v>
      </c>
      <c r="D1559" s="9">
        <v>45395</v>
      </c>
      <c r="E1559" s="13" t="str">
        <f>+HYPERLINK("http://trademark.i-assist.jp/data/china/image_1883th/76398805.pdf","76398805")</f>
        <v>76398805</v>
      </c>
      <c r="F1559" s="7" t="s">
        <v>4299</v>
      </c>
      <c r="G1559" s="7" t="s">
        <v>3982</v>
      </c>
      <c r="H1559" s="7" t="s">
        <v>4300</v>
      </c>
      <c r="I1559" s="9">
        <v>45306</v>
      </c>
    </row>
    <row r="1560" spans="1:9" x14ac:dyDescent="0.15">
      <c r="A1560" s="6">
        <v>1559</v>
      </c>
      <c r="B1560" s="7" t="s">
        <v>9</v>
      </c>
      <c r="C1560" s="8">
        <v>1883</v>
      </c>
      <c r="D1560" s="9">
        <v>45395</v>
      </c>
      <c r="E1560" s="13" t="str">
        <f>+HYPERLINK("http://trademark.i-assist.jp/data/china/image_1883th/76398864.pdf","76398864")</f>
        <v>76398864</v>
      </c>
      <c r="F1560" s="7" t="s">
        <v>4301</v>
      </c>
      <c r="G1560" s="7" t="s">
        <v>4302</v>
      </c>
      <c r="H1560" s="7" t="s">
        <v>4303</v>
      </c>
      <c r="I1560" s="9">
        <v>45306</v>
      </c>
    </row>
    <row r="1561" spans="1:9" x14ac:dyDescent="0.15">
      <c r="A1561" s="6">
        <v>1560</v>
      </c>
      <c r="B1561" s="7" t="s">
        <v>9</v>
      </c>
      <c r="C1561" s="8">
        <v>1883</v>
      </c>
      <c r="D1561" s="9">
        <v>45395</v>
      </c>
      <c r="E1561" s="13" t="str">
        <f>+HYPERLINK("http://trademark.i-assist.jp/data/china/image_1883th/76398922.pdf","76398922")</f>
        <v>76398922</v>
      </c>
      <c r="F1561" s="7" t="s">
        <v>4304</v>
      </c>
      <c r="G1561" s="7" t="s">
        <v>4305</v>
      </c>
      <c r="H1561" s="7" t="s">
        <v>4306</v>
      </c>
      <c r="I1561" s="9">
        <v>45306</v>
      </c>
    </row>
    <row r="1562" spans="1:9" x14ac:dyDescent="0.15">
      <c r="A1562" s="6">
        <v>1561</v>
      </c>
      <c r="B1562" s="7" t="s">
        <v>9</v>
      </c>
      <c r="C1562" s="8">
        <v>1883</v>
      </c>
      <c r="D1562" s="9">
        <v>45395</v>
      </c>
      <c r="E1562" s="13" t="str">
        <f>+HYPERLINK("http://trademark.i-assist.jp/data/china/image_1883th/76398987.pdf","76398987")</f>
        <v>76398987</v>
      </c>
      <c r="F1562" s="7" t="s">
        <v>4307</v>
      </c>
      <c r="G1562" s="7" t="s">
        <v>4308</v>
      </c>
      <c r="H1562" s="7" t="s">
        <v>4309</v>
      </c>
      <c r="I1562" s="9">
        <v>45306</v>
      </c>
    </row>
    <row r="1563" spans="1:9" x14ac:dyDescent="0.15">
      <c r="A1563" s="6">
        <v>1562</v>
      </c>
      <c r="B1563" s="7" t="s">
        <v>9</v>
      </c>
      <c r="C1563" s="8">
        <v>1883</v>
      </c>
      <c r="D1563" s="9">
        <v>45395</v>
      </c>
      <c r="E1563" s="13" t="str">
        <f>+HYPERLINK("http://trademark.i-assist.jp/data/china/image_1883th/76399298.pdf","76399298")</f>
        <v>76399298</v>
      </c>
      <c r="F1563" s="7" t="s">
        <v>4310</v>
      </c>
      <c r="G1563" s="7" t="s">
        <v>4311</v>
      </c>
      <c r="H1563" s="7" t="s">
        <v>4312</v>
      </c>
      <c r="I1563" s="9">
        <v>45306</v>
      </c>
    </row>
    <row r="1564" spans="1:9" x14ac:dyDescent="0.15">
      <c r="A1564" s="6">
        <v>1563</v>
      </c>
      <c r="B1564" s="7" t="s">
        <v>9</v>
      </c>
      <c r="C1564" s="8">
        <v>1883</v>
      </c>
      <c r="D1564" s="9">
        <v>45395</v>
      </c>
      <c r="E1564" s="13" t="str">
        <f>+HYPERLINK("http://trademark.i-assist.jp/data/china/image_1883th/76399340.pdf","76399340")</f>
        <v>76399340</v>
      </c>
      <c r="F1564" s="7" t="s">
        <v>4313</v>
      </c>
      <c r="G1564" s="7" t="s">
        <v>4314</v>
      </c>
      <c r="H1564" s="7" t="s">
        <v>4315</v>
      </c>
      <c r="I1564" s="9">
        <v>45306</v>
      </c>
    </row>
    <row r="1565" spans="1:9" x14ac:dyDescent="0.15">
      <c r="A1565" s="6">
        <v>1564</v>
      </c>
      <c r="B1565" s="7" t="s">
        <v>9</v>
      </c>
      <c r="C1565" s="8">
        <v>1883</v>
      </c>
      <c r="D1565" s="9">
        <v>45395</v>
      </c>
      <c r="E1565" s="13" t="str">
        <f>+HYPERLINK("http://trademark.i-assist.jp/data/china/image_1883th/76399689.pdf","76399689")</f>
        <v>76399689</v>
      </c>
      <c r="F1565" s="7" t="s">
        <v>4316</v>
      </c>
      <c r="G1565" s="7" t="s">
        <v>4317</v>
      </c>
      <c r="H1565" s="7" t="s">
        <v>4318</v>
      </c>
      <c r="I1565" s="9">
        <v>45306</v>
      </c>
    </row>
    <row r="1566" spans="1:9" x14ac:dyDescent="0.15">
      <c r="A1566" s="6">
        <v>1565</v>
      </c>
      <c r="B1566" s="7" t="s">
        <v>9</v>
      </c>
      <c r="C1566" s="8">
        <v>1883</v>
      </c>
      <c r="D1566" s="9">
        <v>45395</v>
      </c>
      <c r="E1566" s="13" t="str">
        <f>+HYPERLINK("http://trademark.i-assist.jp/data/china/image_1883th/76399748.pdf","76399748")</f>
        <v>76399748</v>
      </c>
      <c r="F1566" s="7" t="s">
        <v>4319</v>
      </c>
      <c r="G1566" s="7" t="s">
        <v>4320</v>
      </c>
      <c r="H1566" s="7" t="s">
        <v>4321</v>
      </c>
      <c r="I1566" s="9">
        <v>45306</v>
      </c>
    </row>
    <row r="1567" spans="1:9" x14ac:dyDescent="0.15">
      <c r="A1567" s="6">
        <v>1566</v>
      </c>
      <c r="B1567" s="7" t="s">
        <v>9</v>
      </c>
      <c r="C1567" s="8">
        <v>1883</v>
      </c>
      <c r="D1567" s="9">
        <v>45395</v>
      </c>
      <c r="E1567" s="13" t="str">
        <f>+HYPERLINK("http://trademark.i-assist.jp/data/china/image_1883th/76399807.pdf","76399807")</f>
        <v>76399807</v>
      </c>
      <c r="F1567" s="7" t="s">
        <v>4322</v>
      </c>
      <c r="G1567" s="7" t="s">
        <v>4323</v>
      </c>
      <c r="H1567" s="7" t="s">
        <v>4324</v>
      </c>
      <c r="I1567" s="9">
        <v>45306</v>
      </c>
    </row>
    <row r="1568" spans="1:9" x14ac:dyDescent="0.15">
      <c r="A1568" s="6">
        <v>1567</v>
      </c>
      <c r="B1568" s="7" t="s">
        <v>9</v>
      </c>
      <c r="C1568" s="8">
        <v>1883</v>
      </c>
      <c r="D1568" s="9">
        <v>45395</v>
      </c>
      <c r="E1568" s="13" t="str">
        <f>+HYPERLINK("http://trademark.i-assist.jp/data/china/image_1883th/76399853.pdf","76399853")</f>
        <v>76399853</v>
      </c>
      <c r="F1568" s="7" t="s">
        <v>4325</v>
      </c>
      <c r="G1568" s="7" t="s">
        <v>4326</v>
      </c>
      <c r="H1568" s="7" t="s">
        <v>4327</v>
      </c>
      <c r="I1568" s="9">
        <v>45306</v>
      </c>
    </row>
    <row r="1569" spans="1:9" x14ac:dyDescent="0.15">
      <c r="A1569" s="6">
        <v>1568</v>
      </c>
      <c r="B1569" s="7" t="s">
        <v>9</v>
      </c>
      <c r="C1569" s="8">
        <v>1883</v>
      </c>
      <c r="D1569" s="9">
        <v>45395</v>
      </c>
      <c r="E1569" s="13" t="str">
        <f>+HYPERLINK("http://trademark.i-assist.jp/data/china/image_1883th/76399934.pdf","76399934")</f>
        <v>76399934</v>
      </c>
      <c r="F1569" s="7" t="s">
        <v>4328</v>
      </c>
      <c r="G1569" s="7" t="s">
        <v>4329</v>
      </c>
      <c r="H1569" s="7" t="s">
        <v>4330</v>
      </c>
      <c r="I1569" s="9">
        <v>45306</v>
      </c>
    </row>
    <row r="1570" spans="1:9" x14ac:dyDescent="0.15">
      <c r="A1570" s="6">
        <v>1569</v>
      </c>
      <c r="B1570" s="7" t="s">
        <v>9</v>
      </c>
      <c r="C1570" s="8">
        <v>1883</v>
      </c>
      <c r="D1570" s="9">
        <v>45395</v>
      </c>
      <c r="E1570" s="13" t="str">
        <f>+HYPERLINK("http://trademark.i-assist.jp/data/china/image_1883th/76400403.pdf","76400403")</f>
        <v>76400403</v>
      </c>
      <c r="F1570" s="7" t="s">
        <v>4331</v>
      </c>
      <c r="G1570" s="7" t="s">
        <v>4332</v>
      </c>
      <c r="H1570" s="7" t="s">
        <v>4333</v>
      </c>
      <c r="I1570" s="9">
        <v>45306</v>
      </c>
    </row>
    <row r="1571" spans="1:9" x14ac:dyDescent="0.15">
      <c r="A1571" s="6">
        <v>1570</v>
      </c>
      <c r="B1571" s="7" t="s">
        <v>9</v>
      </c>
      <c r="C1571" s="8">
        <v>1883</v>
      </c>
      <c r="D1571" s="9">
        <v>45395</v>
      </c>
      <c r="E1571" s="13" t="str">
        <f>+HYPERLINK("http://trademark.i-assist.jp/data/china/image_1883th/76400431.pdf","76400431")</f>
        <v>76400431</v>
      </c>
      <c r="F1571" s="7" t="s">
        <v>4334</v>
      </c>
      <c r="G1571" s="7" t="s">
        <v>3906</v>
      </c>
      <c r="H1571" s="7" t="s">
        <v>4335</v>
      </c>
      <c r="I1571" s="9">
        <v>45306</v>
      </c>
    </row>
    <row r="1572" spans="1:9" x14ac:dyDescent="0.15">
      <c r="A1572" s="6">
        <v>1571</v>
      </c>
      <c r="B1572" s="7" t="s">
        <v>9</v>
      </c>
      <c r="C1572" s="8">
        <v>1883</v>
      </c>
      <c r="D1572" s="9">
        <v>45395</v>
      </c>
      <c r="E1572" s="13" t="str">
        <f>+HYPERLINK("http://trademark.i-assist.jp/data/china/image_1883th/76400476.pdf","76400476")</f>
        <v>76400476</v>
      </c>
      <c r="F1572" s="7" t="s">
        <v>4336</v>
      </c>
      <c r="G1572" s="7" t="s">
        <v>4337</v>
      </c>
      <c r="H1572" s="7" t="s">
        <v>4338</v>
      </c>
      <c r="I1572" s="9">
        <v>45306</v>
      </c>
    </row>
    <row r="1573" spans="1:9" x14ac:dyDescent="0.15">
      <c r="A1573" s="6">
        <v>1572</v>
      </c>
      <c r="B1573" s="7" t="s">
        <v>9</v>
      </c>
      <c r="C1573" s="8">
        <v>1883</v>
      </c>
      <c r="D1573" s="9">
        <v>45395</v>
      </c>
      <c r="E1573" s="13" t="str">
        <f>+HYPERLINK("http://trademark.i-assist.jp/data/china/image_1883th/76400479.pdf","76400479")</f>
        <v>76400479</v>
      </c>
      <c r="F1573" s="7" t="s">
        <v>4339</v>
      </c>
      <c r="G1573" s="7" t="s">
        <v>4340</v>
      </c>
      <c r="H1573" s="7" t="s">
        <v>4341</v>
      </c>
      <c r="I1573" s="9">
        <v>45306</v>
      </c>
    </row>
    <row r="1574" spans="1:9" ht="27" x14ac:dyDescent="0.15">
      <c r="A1574" s="6">
        <v>1573</v>
      </c>
      <c r="B1574" s="7" t="s">
        <v>9</v>
      </c>
      <c r="C1574" s="8">
        <v>1883</v>
      </c>
      <c r="D1574" s="9">
        <v>45395</v>
      </c>
      <c r="E1574" s="13" t="str">
        <f>+HYPERLINK("http://trademark.i-assist.jp/data/china/image_1883th/76400607.pdf","76400607")</f>
        <v>76400607</v>
      </c>
      <c r="F1574" s="7" t="s">
        <v>4342</v>
      </c>
      <c r="G1574" s="7" t="s">
        <v>3982</v>
      </c>
      <c r="H1574" s="7" t="s">
        <v>4343</v>
      </c>
      <c r="I1574" s="9">
        <v>45306</v>
      </c>
    </row>
    <row r="1575" spans="1:9" x14ac:dyDescent="0.15">
      <c r="A1575" s="6">
        <v>1574</v>
      </c>
      <c r="B1575" s="7" t="s">
        <v>9</v>
      </c>
      <c r="C1575" s="8">
        <v>1883</v>
      </c>
      <c r="D1575" s="9">
        <v>45395</v>
      </c>
      <c r="E1575" s="13" t="str">
        <f>+HYPERLINK("http://trademark.i-assist.jp/data/china/image_1883th/76400722.pdf","76400722")</f>
        <v>76400722</v>
      </c>
      <c r="F1575" s="7" t="s">
        <v>4344</v>
      </c>
      <c r="G1575" s="7" t="s">
        <v>4345</v>
      </c>
      <c r="H1575" s="7" t="s">
        <v>4346</v>
      </c>
      <c r="I1575" s="9">
        <v>45306</v>
      </c>
    </row>
    <row r="1576" spans="1:9" x14ac:dyDescent="0.15">
      <c r="A1576" s="6">
        <v>1575</v>
      </c>
      <c r="B1576" s="7" t="s">
        <v>9</v>
      </c>
      <c r="C1576" s="8">
        <v>1883</v>
      </c>
      <c r="D1576" s="9">
        <v>45395</v>
      </c>
      <c r="E1576" s="13" t="str">
        <f>+HYPERLINK("http://trademark.i-assist.jp/data/china/image_1883th/76400839.pdf","76400839")</f>
        <v>76400839</v>
      </c>
      <c r="F1576" s="7" t="s">
        <v>4347</v>
      </c>
      <c r="G1576" s="7" t="s">
        <v>4348</v>
      </c>
      <c r="H1576" s="7" t="s">
        <v>4349</v>
      </c>
      <c r="I1576" s="9">
        <v>45306</v>
      </c>
    </row>
    <row r="1577" spans="1:9" x14ac:dyDescent="0.15">
      <c r="A1577" s="6">
        <v>1576</v>
      </c>
      <c r="B1577" s="7" t="s">
        <v>9</v>
      </c>
      <c r="C1577" s="8">
        <v>1883</v>
      </c>
      <c r="D1577" s="9">
        <v>45395</v>
      </c>
      <c r="E1577" s="13" t="str">
        <f>+HYPERLINK("http://trademark.i-assist.jp/data/china/image_1883th/76401106.pdf","76401106")</f>
        <v>76401106</v>
      </c>
      <c r="F1577" s="7" t="s">
        <v>3749</v>
      </c>
      <c r="G1577" s="7" t="s">
        <v>3750</v>
      </c>
      <c r="H1577" s="7" t="s">
        <v>4350</v>
      </c>
      <c r="I1577" s="9">
        <v>45304</v>
      </c>
    </row>
    <row r="1578" spans="1:9" x14ac:dyDescent="0.15">
      <c r="A1578" s="6">
        <v>1577</v>
      </c>
      <c r="B1578" s="7" t="s">
        <v>9</v>
      </c>
      <c r="C1578" s="8">
        <v>1883</v>
      </c>
      <c r="D1578" s="9">
        <v>45395</v>
      </c>
      <c r="E1578" s="13" t="str">
        <f>+HYPERLINK("http://trademark.i-assist.jp/data/china/image_1883th/76401138.pdf","76401138")</f>
        <v>76401138</v>
      </c>
      <c r="F1578" s="7" t="s">
        <v>4351</v>
      </c>
      <c r="G1578" s="7" t="s">
        <v>3747</v>
      </c>
      <c r="H1578" s="7" t="s">
        <v>4352</v>
      </c>
      <c r="I1578" s="9">
        <v>45304</v>
      </c>
    </row>
    <row r="1579" spans="1:9" ht="27" x14ac:dyDescent="0.15">
      <c r="A1579" s="6">
        <v>1578</v>
      </c>
      <c r="B1579" s="7" t="s">
        <v>9</v>
      </c>
      <c r="C1579" s="8">
        <v>1883</v>
      </c>
      <c r="D1579" s="9">
        <v>45395</v>
      </c>
      <c r="E1579" s="13" t="str">
        <f>+HYPERLINK("http://trademark.i-assist.jp/data/china/image_1883th/76401143.pdf","76401143")</f>
        <v>76401143</v>
      </c>
      <c r="F1579" s="7" t="s">
        <v>4353</v>
      </c>
      <c r="G1579" s="7" t="s">
        <v>3747</v>
      </c>
      <c r="H1579" s="7" t="s">
        <v>4354</v>
      </c>
      <c r="I1579" s="9">
        <v>45304</v>
      </c>
    </row>
    <row r="1580" spans="1:9" ht="27" x14ac:dyDescent="0.15">
      <c r="A1580" s="6">
        <v>1579</v>
      </c>
      <c r="B1580" s="7" t="s">
        <v>9</v>
      </c>
      <c r="C1580" s="8">
        <v>1883</v>
      </c>
      <c r="D1580" s="9">
        <v>45395</v>
      </c>
      <c r="E1580" s="13" t="str">
        <f>+HYPERLINK("http://trademark.i-assist.jp/data/china/image_1883th/76401228.pdf","76401228")</f>
        <v>76401228</v>
      </c>
      <c r="F1580" s="7" t="s">
        <v>4355</v>
      </c>
      <c r="G1580" s="7" t="s">
        <v>4356</v>
      </c>
      <c r="H1580" s="7" t="s">
        <v>4357</v>
      </c>
      <c r="I1580" s="9">
        <v>45304</v>
      </c>
    </row>
    <row r="1581" spans="1:9" x14ac:dyDescent="0.15">
      <c r="A1581" s="6">
        <v>1580</v>
      </c>
      <c r="B1581" s="7" t="s">
        <v>9</v>
      </c>
      <c r="C1581" s="8">
        <v>1883</v>
      </c>
      <c r="D1581" s="9">
        <v>45395</v>
      </c>
      <c r="E1581" s="13" t="str">
        <f>+HYPERLINK("http://trademark.i-assist.jp/data/china/image_1883th/76401385.pdf","76401385")</f>
        <v>76401385</v>
      </c>
      <c r="F1581" s="7" t="s">
        <v>4358</v>
      </c>
      <c r="G1581" s="7" t="s">
        <v>3776</v>
      </c>
      <c r="H1581" s="7" t="s">
        <v>4359</v>
      </c>
      <c r="I1581" s="9">
        <v>45304</v>
      </c>
    </row>
    <row r="1582" spans="1:9" x14ac:dyDescent="0.15">
      <c r="A1582" s="6">
        <v>1581</v>
      </c>
      <c r="B1582" s="7" t="s">
        <v>9</v>
      </c>
      <c r="C1582" s="8">
        <v>1883</v>
      </c>
      <c r="D1582" s="9">
        <v>45395</v>
      </c>
      <c r="E1582" s="13" t="str">
        <f>+HYPERLINK("http://trademark.i-assist.jp/data/china/image_1883th/76401431.pdf","76401431")</f>
        <v>76401431</v>
      </c>
      <c r="F1582" s="7" t="s">
        <v>4360</v>
      </c>
      <c r="G1582" s="7" t="s">
        <v>4361</v>
      </c>
      <c r="H1582" s="7" t="s">
        <v>4362</v>
      </c>
      <c r="I1582" s="9">
        <v>45303</v>
      </c>
    </row>
    <row r="1583" spans="1:9" x14ac:dyDescent="0.15">
      <c r="A1583" s="6">
        <v>1582</v>
      </c>
      <c r="B1583" s="7" t="s">
        <v>9</v>
      </c>
      <c r="C1583" s="8">
        <v>1883</v>
      </c>
      <c r="D1583" s="9">
        <v>45395</v>
      </c>
      <c r="E1583" s="13" t="str">
        <f>+HYPERLINK("http://trademark.i-assist.jp/data/china/image_1883th/76401536.pdf","76401536")</f>
        <v>76401536</v>
      </c>
      <c r="F1583" s="7" t="s">
        <v>4363</v>
      </c>
      <c r="G1583" s="7" t="s">
        <v>4364</v>
      </c>
      <c r="H1583" s="7" t="s">
        <v>4365</v>
      </c>
      <c r="I1583" s="9">
        <v>45306</v>
      </c>
    </row>
    <row r="1584" spans="1:9" x14ac:dyDescent="0.15">
      <c r="A1584" s="6">
        <v>1583</v>
      </c>
      <c r="B1584" s="7" t="s">
        <v>9</v>
      </c>
      <c r="C1584" s="8">
        <v>1883</v>
      </c>
      <c r="D1584" s="9">
        <v>45395</v>
      </c>
      <c r="E1584" s="13" t="str">
        <f>+HYPERLINK("http://trademark.i-assist.jp/data/china/image_1883th/76401548.pdf","76401548")</f>
        <v>76401548</v>
      </c>
      <c r="F1584" s="7" t="s">
        <v>4366</v>
      </c>
      <c r="G1584" s="7" t="s">
        <v>1507</v>
      </c>
      <c r="H1584" s="7" t="s">
        <v>4367</v>
      </c>
      <c r="I1584" s="9">
        <v>45306</v>
      </c>
    </row>
    <row r="1585" spans="1:9" x14ac:dyDescent="0.15">
      <c r="A1585" s="6">
        <v>1584</v>
      </c>
      <c r="B1585" s="7" t="s">
        <v>9</v>
      </c>
      <c r="C1585" s="8">
        <v>1883</v>
      </c>
      <c r="D1585" s="9">
        <v>45395</v>
      </c>
      <c r="E1585" s="13" t="str">
        <f>+HYPERLINK("http://trademark.i-assist.jp/data/china/image_1883th/76401580.pdf","76401580")</f>
        <v>76401580</v>
      </c>
      <c r="F1585" s="7" t="s">
        <v>57</v>
      </c>
      <c r="G1585" s="7" t="s">
        <v>4368</v>
      </c>
      <c r="H1585" s="7" t="s">
        <v>4369</v>
      </c>
      <c r="I1585" s="9">
        <v>45306</v>
      </c>
    </row>
    <row r="1586" spans="1:9" ht="27" x14ac:dyDescent="0.15">
      <c r="A1586" s="6">
        <v>1585</v>
      </c>
      <c r="B1586" s="7" t="s">
        <v>9</v>
      </c>
      <c r="C1586" s="8">
        <v>1883</v>
      </c>
      <c r="D1586" s="9">
        <v>45395</v>
      </c>
      <c r="E1586" s="13" t="str">
        <f>+HYPERLINK("http://trademark.i-assist.jp/data/china/image_1883th/76401641.pdf","76401641")</f>
        <v>76401641</v>
      </c>
      <c r="F1586" s="7" t="s">
        <v>4370</v>
      </c>
      <c r="G1586" s="7" t="s">
        <v>4371</v>
      </c>
      <c r="H1586" s="7" t="s">
        <v>4372</v>
      </c>
      <c r="I1586" s="9">
        <v>45306</v>
      </c>
    </row>
    <row r="1587" spans="1:9" x14ac:dyDescent="0.15">
      <c r="A1587" s="6">
        <v>1586</v>
      </c>
      <c r="B1587" s="7" t="s">
        <v>9</v>
      </c>
      <c r="C1587" s="8">
        <v>1883</v>
      </c>
      <c r="D1587" s="9">
        <v>45395</v>
      </c>
      <c r="E1587" s="13" t="str">
        <f>+HYPERLINK("http://trademark.i-assist.jp/data/china/image_1883th/76401745.pdf","76401745")</f>
        <v>76401745</v>
      </c>
      <c r="F1587" s="7" t="s">
        <v>4373</v>
      </c>
      <c r="G1587" s="7" t="s">
        <v>2197</v>
      </c>
      <c r="H1587" s="7" t="s">
        <v>4374</v>
      </c>
      <c r="I1587" s="9">
        <v>45306</v>
      </c>
    </row>
    <row r="1588" spans="1:9" ht="27" x14ac:dyDescent="0.15">
      <c r="A1588" s="6">
        <v>1587</v>
      </c>
      <c r="B1588" s="7" t="s">
        <v>9</v>
      </c>
      <c r="C1588" s="8">
        <v>1883</v>
      </c>
      <c r="D1588" s="9">
        <v>45395</v>
      </c>
      <c r="E1588" s="13" t="str">
        <f>+HYPERLINK("http://trademark.i-assist.jp/data/china/image_1883th/76401849.pdf","76401849")</f>
        <v>76401849</v>
      </c>
      <c r="F1588" s="7" t="s">
        <v>4375</v>
      </c>
      <c r="G1588" s="7" t="s">
        <v>3861</v>
      </c>
      <c r="H1588" s="7" t="s">
        <v>4376</v>
      </c>
      <c r="I1588" s="9">
        <v>45305</v>
      </c>
    </row>
    <row r="1589" spans="1:9" x14ac:dyDescent="0.15">
      <c r="A1589" s="6">
        <v>1588</v>
      </c>
      <c r="B1589" s="7" t="s">
        <v>9</v>
      </c>
      <c r="C1589" s="8">
        <v>1883</v>
      </c>
      <c r="D1589" s="9">
        <v>45395</v>
      </c>
      <c r="E1589" s="13" t="str">
        <f>+HYPERLINK("http://trademark.i-assist.jp/data/china/image_1883th/76402031.pdf","76402031")</f>
        <v>76402031</v>
      </c>
      <c r="F1589" s="7" t="s">
        <v>4377</v>
      </c>
      <c r="G1589" s="7" t="s">
        <v>4284</v>
      </c>
      <c r="H1589" s="7" t="s">
        <v>4378</v>
      </c>
      <c r="I1589" s="9">
        <v>45306</v>
      </c>
    </row>
    <row r="1590" spans="1:9" x14ac:dyDescent="0.15">
      <c r="A1590" s="6">
        <v>1589</v>
      </c>
      <c r="B1590" s="7" t="s">
        <v>9</v>
      </c>
      <c r="C1590" s="8">
        <v>1883</v>
      </c>
      <c r="D1590" s="9">
        <v>45395</v>
      </c>
      <c r="E1590" s="13" t="str">
        <f>+HYPERLINK("http://trademark.i-assist.jp/data/china/image_1883th/76402050.pdf","76402050")</f>
        <v>76402050</v>
      </c>
      <c r="F1590" s="7" t="s">
        <v>4379</v>
      </c>
      <c r="G1590" s="7" t="s">
        <v>4380</v>
      </c>
      <c r="H1590" s="7" t="s">
        <v>4381</v>
      </c>
      <c r="I1590" s="9">
        <v>45306</v>
      </c>
    </row>
    <row r="1591" spans="1:9" x14ac:dyDescent="0.15">
      <c r="A1591" s="6">
        <v>1590</v>
      </c>
      <c r="B1591" s="7" t="s">
        <v>9</v>
      </c>
      <c r="C1591" s="8">
        <v>1883</v>
      </c>
      <c r="D1591" s="9">
        <v>45395</v>
      </c>
      <c r="E1591" s="13" t="str">
        <f>+HYPERLINK("http://trademark.i-assist.jp/data/china/image_1883th/76402386.pdf","76402386")</f>
        <v>76402386</v>
      </c>
      <c r="F1591" s="7" t="s">
        <v>4382</v>
      </c>
      <c r="G1591" s="7" t="s">
        <v>3906</v>
      </c>
      <c r="H1591" s="7" t="s">
        <v>4383</v>
      </c>
      <c r="I1591" s="9">
        <v>45306</v>
      </c>
    </row>
    <row r="1592" spans="1:9" x14ac:dyDescent="0.15">
      <c r="A1592" s="6">
        <v>1591</v>
      </c>
      <c r="B1592" s="7" t="s">
        <v>9</v>
      </c>
      <c r="C1592" s="8">
        <v>1883</v>
      </c>
      <c r="D1592" s="9">
        <v>45395</v>
      </c>
      <c r="E1592" s="13" t="str">
        <f>+HYPERLINK("http://trademark.i-assist.jp/data/china/image_1883th/76402494.pdf","76402494")</f>
        <v>76402494</v>
      </c>
      <c r="F1592" s="7" t="s">
        <v>4384</v>
      </c>
      <c r="G1592" s="7" t="s">
        <v>4385</v>
      </c>
      <c r="H1592" s="7" t="s">
        <v>4386</v>
      </c>
      <c r="I1592" s="9">
        <v>45306</v>
      </c>
    </row>
    <row r="1593" spans="1:9" x14ac:dyDescent="0.15">
      <c r="A1593" s="6">
        <v>1592</v>
      </c>
      <c r="B1593" s="7" t="s">
        <v>9</v>
      </c>
      <c r="C1593" s="8">
        <v>1883</v>
      </c>
      <c r="D1593" s="9">
        <v>45395</v>
      </c>
      <c r="E1593" s="13" t="str">
        <f>+HYPERLINK("http://trademark.i-assist.jp/data/china/image_1883th/76402516.pdf","76402516")</f>
        <v>76402516</v>
      </c>
      <c r="F1593" s="7" t="s">
        <v>4387</v>
      </c>
      <c r="G1593" s="7" t="s">
        <v>4388</v>
      </c>
      <c r="H1593" s="7" t="s">
        <v>4389</v>
      </c>
      <c r="I1593" s="9">
        <v>45306</v>
      </c>
    </row>
    <row r="1594" spans="1:9" x14ac:dyDescent="0.15">
      <c r="A1594" s="6">
        <v>1593</v>
      </c>
      <c r="B1594" s="7" t="s">
        <v>9</v>
      </c>
      <c r="C1594" s="8">
        <v>1883</v>
      </c>
      <c r="D1594" s="9">
        <v>45395</v>
      </c>
      <c r="E1594" s="13" t="str">
        <f>+HYPERLINK("http://trademark.i-assist.jp/data/china/image_1883th/76403207.pdf","76403207")</f>
        <v>76403207</v>
      </c>
      <c r="F1594" s="7" t="s">
        <v>4390</v>
      </c>
      <c r="G1594" s="7" t="s">
        <v>4391</v>
      </c>
      <c r="H1594" s="7" t="s">
        <v>4392</v>
      </c>
      <c r="I1594" s="9">
        <v>45306</v>
      </c>
    </row>
    <row r="1595" spans="1:9" x14ac:dyDescent="0.15">
      <c r="A1595" s="6">
        <v>1594</v>
      </c>
      <c r="B1595" s="7" t="s">
        <v>9</v>
      </c>
      <c r="C1595" s="8">
        <v>1883</v>
      </c>
      <c r="D1595" s="9">
        <v>45395</v>
      </c>
      <c r="E1595" s="13" t="str">
        <f>+HYPERLINK("http://trademark.i-assist.jp/data/china/image_1883th/76403229.pdf","76403229")</f>
        <v>76403229</v>
      </c>
      <c r="F1595" s="7" t="s">
        <v>4393</v>
      </c>
      <c r="G1595" s="7" t="s">
        <v>4394</v>
      </c>
      <c r="H1595" s="7" t="s">
        <v>4395</v>
      </c>
      <c r="I1595" s="9">
        <v>45306</v>
      </c>
    </row>
    <row r="1596" spans="1:9" ht="27" x14ac:dyDescent="0.15">
      <c r="A1596" s="6">
        <v>1595</v>
      </c>
      <c r="B1596" s="7" t="s">
        <v>9</v>
      </c>
      <c r="C1596" s="8">
        <v>1883</v>
      </c>
      <c r="D1596" s="9">
        <v>45395</v>
      </c>
      <c r="E1596" s="13" t="str">
        <f>+HYPERLINK("http://trademark.i-assist.jp/data/china/image_1883th/76403279.pdf","76403279")</f>
        <v>76403279</v>
      </c>
      <c r="F1596" s="7" t="s">
        <v>4396</v>
      </c>
      <c r="G1596" s="7" t="s">
        <v>4397</v>
      </c>
      <c r="H1596" s="7" t="s">
        <v>4398</v>
      </c>
      <c r="I1596" s="9">
        <v>45306</v>
      </c>
    </row>
    <row r="1597" spans="1:9" ht="27" x14ac:dyDescent="0.15">
      <c r="A1597" s="6">
        <v>1596</v>
      </c>
      <c r="B1597" s="7" t="s">
        <v>9</v>
      </c>
      <c r="C1597" s="8">
        <v>1883</v>
      </c>
      <c r="D1597" s="9">
        <v>45395</v>
      </c>
      <c r="E1597" s="13" t="str">
        <f>+HYPERLINK("http://trademark.i-assist.jp/data/china/image_1883th/76403317.pdf","76403317")</f>
        <v>76403317</v>
      </c>
      <c r="F1597" s="7" t="s">
        <v>4399</v>
      </c>
      <c r="G1597" s="7" t="s">
        <v>3936</v>
      </c>
      <c r="H1597" s="7" t="s">
        <v>4400</v>
      </c>
      <c r="I1597" s="9">
        <v>45306</v>
      </c>
    </row>
    <row r="1598" spans="1:9" x14ac:dyDescent="0.15">
      <c r="A1598" s="6">
        <v>1597</v>
      </c>
      <c r="B1598" s="7" t="s">
        <v>9</v>
      </c>
      <c r="C1598" s="8">
        <v>1883</v>
      </c>
      <c r="D1598" s="9">
        <v>45395</v>
      </c>
      <c r="E1598" s="13" t="str">
        <f>+HYPERLINK("http://trademark.i-assist.jp/data/china/image_1883th/76403358.pdf","76403358")</f>
        <v>76403358</v>
      </c>
      <c r="F1598" s="7" t="s">
        <v>4401</v>
      </c>
      <c r="G1598" s="7" t="s">
        <v>4402</v>
      </c>
      <c r="H1598" s="7" t="s">
        <v>4403</v>
      </c>
      <c r="I1598" s="9">
        <v>45306</v>
      </c>
    </row>
    <row r="1599" spans="1:9" x14ac:dyDescent="0.15">
      <c r="A1599" s="6">
        <v>1598</v>
      </c>
      <c r="B1599" s="7" t="s">
        <v>9</v>
      </c>
      <c r="C1599" s="8">
        <v>1883</v>
      </c>
      <c r="D1599" s="9">
        <v>45395</v>
      </c>
      <c r="E1599" s="13" t="str">
        <f>+HYPERLINK("http://trademark.i-assist.jp/data/china/image_1883th/76403439.pdf","76403439")</f>
        <v>76403439</v>
      </c>
      <c r="F1599" s="7" t="s">
        <v>4404</v>
      </c>
      <c r="G1599" s="7" t="s">
        <v>4405</v>
      </c>
      <c r="H1599" s="7" t="s">
        <v>4406</v>
      </c>
      <c r="I1599" s="9">
        <v>45306</v>
      </c>
    </row>
    <row r="1600" spans="1:9" x14ac:dyDescent="0.15">
      <c r="A1600" s="6">
        <v>1599</v>
      </c>
      <c r="B1600" s="7" t="s">
        <v>9</v>
      </c>
      <c r="C1600" s="8">
        <v>1883</v>
      </c>
      <c r="D1600" s="9">
        <v>45395</v>
      </c>
      <c r="E1600" s="13" t="str">
        <f>+HYPERLINK("http://trademark.i-assist.jp/data/china/image_1883th/76403649.pdf","76403649")</f>
        <v>76403649</v>
      </c>
      <c r="F1600" s="7" t="s">
        <v>4407</v>
      </c>
      <c r="G1600" s="7" t="s">
        <v>4408</v>
      </c>
      <c r="H1600" s="7" t="s">
        <v>4409</v>
      </c>
      <c r="I1600" s="9">
        <v>45306</v>
      </c>
    </row>
    <row r="1601" spans="1:9" x14ac:dyDescent="0.15">
      <c r="A1601" s="6">
        <v>1600</v>
      </c>
      <c r="B1601" s="7" t="s">
        <v>9</v>
      </c>
      <c r="C1601" s="8">
        <v>1883</v>
      </c>
      <c r="D1601" s="9">
        <v>45395</v>
      </c>
      <c r="E1601" s="13" t="str">
        <f>+HYPERLINK("http://trademark.i-assist.jp/data/china/image_1883th/76403760.pdf","76403760")</f>
        <v>76403760</v>
      </c>
      <c r="F1601" s="7" t="s">
        <v>4410</v>
      </c>
      <c r="G1601" s="7" t="s">
        <v>4284</v>
      </c>
      <c r="H1601" s="7" t="s">
        <v>4411</v>
      </c>
      <c r="I1601" s="9">
        <v>45306</v>
      </c>
    </row>
    <row r="1602" spans="1:9" x14ac:dyDescent="0.15">
      <c r="A1602" s="6">
        <v>1601</v>
      </c>
      <c r="B1602" s="7" t="s">
        <v>9</v>
      </c>
      <c r="C1602" s="8">
        <v>1883</v>
      </c>
      <c r="D1602" s="9">
        <v>45395</v>
      </c>
      <c r="E1602" s="13" t="str">
        <f>+HYPERLINK("http://trademark.i-assist.jp/data/china/image_1883th/76403831.pdf","76403831")</f>
        <v>76403831</v>
      </c>
      <c r="F1602" s="7" t="s">
        <v>4412</v>
      </c>
      <c r="G1602" s="7" t="s">
        <v>4413</v>
      </c>
      <c r="H1602" s="7" t="s">
        <v>4414</v>
      </c>
      <c r="I1602" s="9">
        <v>45306</v>
      </c>
    </row>
    <row r="1603" spans="1:9" x14ac:dyDescent="0.15">
      <c r="A1603" s="6">
        <v>1602</v>
      </c>
      <c r="B1603" s="7" t="s">
        <v>9</v>
      </c>
      <c r="C1603" s="8">
        <v>1883</v>
      </c>
      <c r="D1603" s="9">
        <v>45395</v>
      </c>
      <c r="E1603" s="13" t="str">
        <f>+HYPERLINK("http://trademark.i-assist.jp/data/china/image_1883th/76403942.pdf","76403942")</f>
        <v>76403942</v>
      </c>
      <c r="F1603" s="7" t="s">
        <v>4415</v>
      </c>
      <c r="G1603" s="7" t="s">
        <v>4018</v>
      </c>
      <c r="H1603" s="7" t="s">
        <v>4416</v>
      </c>
      <c r="I1603" s="9">
        <v>45306</v>
      </c>
    </row>
    <row r="1604" spans="1:9" x14ac:dyDescent="0.15">
      <c r="A1604" s="6">
        <v>1603</v>
      </c>
      <c r="B1604" s="7" t="s">
        <v>9</v>
      </c>
      <c r="C1604" s="8">
        <v>1883</v>
      </c>
      <c r="D1604" s="9">
        <v>45395</v>
      </c>
      <c r="E1604" s="13" t="str">
        <f>+HYPERLINK("http://trademark.i-assist.jp/data/china/image_1883th/76404071.pdf","76404071")</f>
        <v>76404071</v>
      </c>
      <c r="F1604" s="7" t="s">
        <v>4417</v>
      </c>
      <c r="G1604" s="7" t="s">
        <v>4418</v>
      </c>
      <c r="H1604" s="7" t="s">
        <v>4419</v>
      </c>
      <c r="I1604" s="9">
        <v>45306</v>
      </c>
    </row>
    <row r="1605" spans="1:9" ht="27" x14ac:dyDescent="0.15">
      <c r="A1605" s="6">
        <v>1604</v>
      </c>
      <c r="B1605" s="7" t="s">
        <v>9</v>
      </c>
      <c r="C1605" s="8">
        <v>1883</v>
      </c>
      <c r="D1605" s="9">
        <v>45395</v>
      </c>
      <c r="E1605" s="13" t="str">
        <f>+HYPERLINK("http://trademark.i-assist.jp/data/china/image_1883th/76404250.pdf","76404250")</f>
        <v>76404250</v>
      </c>
      <c r="F1605" s="7" t="s">
        <v>4420</v>
      </c>
      <c r="G1605" s="7" t="s">
        <v>4421</v>
      </c>
      <c r="H1605" s="7" t="s">
        <v>4422</v>
      </c>
      <c r="I1605" s="9">
        <v>45306</v>
      </c>
    </row>
    <row r="1606" spans="1:9" x14ac:dyDescent="0.15">
      <c r="A1606" s="6">
        <v>1605</v>
      </c>
      <c r="B1606" s="7" t="s">
        <v>9</v>
      </c>
      <c r="C1606" s="8">
        <v>1883</v>
      </c>
      <c r="D1606" s="9">
        <v>45395</v>
      </c>
      <c r="E1606" s="13" t="str">
        <f>+HYPERLINK("http://trademark.i-assist.jp/data/china/image_1883th/76404540.pdf","76404540")</f>
        <v>76404540</v>
      </c>
      <c r="F1606" s="7" t="s">
        <v>4423</v>
      </c>
      <c r="G1606" s="7" t="s">
        <v>3023</v>
      </c>
      <c r="H1606" s="7" t="s">
        <v>4424</v>
      </c>
      <c r="I1606" s="9">
        <v>45306</v>
      </c>
    </row>
    <row r="1607" spans="1:9" ht="27" x14ac:dyDescent="0.15">
      <c r="A1607" s="6">
        <v>1606</v>
      </c>
      <c r="B1607" s="7" t="s">
        <v>9</v>
      </c>
      <c r="C1607" s="8">
        <v>1883</v>
      </c>
      <c r="D1607" s="9">
        <v>45395</v>
      </c>
      <c r="E1607" s="13" t="str">
        <f>+HYPERLINK("http://trademark.i-assist.jp/data/china/image_1883th/76404636.pdf","76404636")</f>
        <v>76404636</v>
      </c>
      <c r="F1607" s="7" t="s">
        <v>4425</v>
      </c>
      <c r="G1607" s="7" t="s">
        <v>4426</v>
      </c>
      <c r="H1607" s="7" t="s">
        <v>4427</v>
      </c>
      <c r="I1607" s="9">
        <v>45306</v>
      </c>
    </row>
    <row r="1608" spans="1:9" ht="27" x14ac:dyDescent="0.15">
      <c r="A1608" s="6">
        <v>1607</v>
      </c>
      <c r="B1608" s="7" t="s">
        <v>9</v>
      </c>
      <c r="C1608" s="8">
        <v>1883</v>
      </c>
      <c r="D1608" s="9">
        <v>45395</v>
      </c>
      <c r="E1608" s="13" t="str">
        <f>+HYPERLINK("http://trademark.i-assist.jp/data/china/image_1883th/76404700.pdf","76404700")</f>
        <v>76404700</v>
      </c>
      <c r="F1608" s="7" t="s">
        <v>4428</v>
      </c>
      <c r="G1608" s="7" t="s">
        <v>4133</v>
      </c>
      <c r="H1608" s="7" t="s">
        <v>4429</v>
      </c>
      <c r="I1608" s="9">
        <v>45306</v>
      </c>
    </row>
    <row r="1609" spans="1:9" ht="27" x14ac:dyDescent="0.15">
      <c r="A1609" s="6">
        <v>1608</v>
      </c>
      <c r="B1609" s="7" t="s">
        <v>9</v>
      </c>
      <c r="C1609" s="8">
        <v>1883</v>
      </c>
      <c r="D1609" s="9">
        <v>45395</v>
      </c>
      <c r="E1609" s="13" t="str">
        <f>+HYPERLINK("http://trademark.i-assist.jp/data/china/image_1883th/76404713.pdf","76404713")</f>
        <v>76404713</v>
      </c>
      <c r="F1609" s="7" t="s">
        <v>4430</v>
      </c>
      <c r="G1609" s="7" t="s">
        <v>4431</v>
      </c>
      <c r="H1609" s="7" t="s">
        <v>4432</v>
      </c>
      <c r="I1609" s="9">
        <v>45306</v>
      </c>
    </row>
    <row r="1610" spans="1:9" ht="27" x14ac:dyDescent="0.15">
      <c r="A1610" s="6">
        <v>1609</v>
      </c>
      <c r="B1610" s="7" t="s">
        <v>9</v>
      </c>
      <c r="C1610" s="8">
        <v>1883</v>
      </c>
      <c r="D1610" s="9">
        <v>45395</v>
      </c>
      <c r="E1610" s="13" t="str">
        <f>+HYPERLINK("http://trademark.i-assist.jp/data/china/image_1883th/76404837.pdf","76404837")</f>
        <v>76404837</v>
      </c>
      <c r="F1610" s="7" t="s">
        <v>4433</v>
      </c>
      <c r="G1610" s="7" t="s">
        <v>4434</v>
      </c>
      <c r="H1610" s="7" t="s">
        <v>4435</v>
      </c>
      <c r="I1610" s="9">
        <v>45306</v>
      </c>
    </row>
    <row r="1611" spans="1:9" x14ac:dyDescent="0.15">
      <c r="A1611" s="6">
        <v>1610</v>
      </c>
      <c r="B1611" s="7" t="s">
        <v>9</v>
      </c>
      <c r="C1611" s="8">
        <v>1883</v>
      </c>
      <c r="D1611" s="9">
        <v>45395</v>
      </c>
      <c r="E1611" s="13" t="str">
        <f>+HYPERLINK("http://trademark.i-assist.jp/data/china/image_1883th/76404897.pdf","76404897")</f>
        <v>76404897</v>
      </c>
      <c r="F1611" s="7" t="s">
        <v>4436</v>
      </c>
      <c r="G1611" s="7" t="s">
        <v>3903</v>
      </c>
      <c r="H1611" s="7" t="s">
        <v>4437</v>
      </c>
      <c r="I1611" s="9">
        <v>45306</v>
      </c>
    </row>
    <row r="1612" spans="1:9" x14ac:dyDescent="0.15">
      <c r="A1612" s="6">
        <v>1611</v>
      </c>
      <c r="B1612" s="7" t="s">
        <v>9</v>
      </c>
      <c r="C1612" s="8">
        <v>1883</v>
      </c>
      <c r="D1612" s="9">
        <v>45395</v>
      </c>
      <c r="E1612" s="13" t="str">
        <f>+HYPERLINK("http://trademark.i-assist.jp/data/china/image_1883th/76404914.pdf","76404914")</f>
        <v>76404914</v>
      </c>
      <c r="F1612" s="7" t="s">
        <v>4438</v>
      </c>
      <c r="G1612" s="7" t="s">
        <v>4439</v>
      </c>
      <c r="H1612" s="7" t="s">
        <v>4440</v>
      </c>
      <c r="I1612" s="9">
        <v>45306</v>
      </c>
    </row>
    <row r="1613" spans="1:9" x14ac:dyDescent="0.15">
      <c r="A1613" s="6">
        <v>1612</v>
      </c>
      <c r="B1613" s="7" t="s">
        <v>9</v>
      </c>
      <c r="C1613" s="8">
        <v>1883</v>
      </c>
      <c r="D1613" s="9">
        <v>45395</v>
      </c>
      <c r="E1613" s="13" t="str">
        <f>+HYPERLINK("http://trademark.i-assist.jp/data/china/image_1883th/76405311.pdf","76405311")</f>
        <v>76405311</v>
      </c>
      <c r="F1613" s="7" t="s">
        <v>4441</v>
      </c>
      <c r="G1613" s="7" t="s">
        <v>4442</v>
      </c>
      <c r="H1613" s="7" t="s">
        <v>4443</v>
      </c>
      <c r="I1613" s="9">
        <v>45306</v>
      </c>
    </row>
    <row r="1614" spans="1:9" x14ac:dyDescent="0.15">
      <c r="A1614" s="6">
        <v>1613</v>
      </c>
      <c r="B1614" s="7" t="s">
        <v>9</v>
      </c>
      <c r="C1614" s="8">
        <v>1883</v>
      </c>
      <c r="D1614" s="9">
        <v>45395</v>
      </c>
      <c r="E1614" s="13" t="str">
        <f>+HYPERLINK("http://trademark.i-assist.jp/data/china/image_1883th/76405458.pdf","76405458")</f>
        <v>76405458</v>
      </c>
      <c r="F1614" s="7" t="s">
        <v>4444</v>
      </c>
      <c r="G1614" s="7" t="s">
        <v>4207</v>
      </c>
      <c r="H1614" s="7" t="s">
        <v>4445</v>
      </c>
      <c r="I1614" s="9">
        <v>45306</v>
      </c>
    </row>
    <row r="1615" spans="1:9" x14ac:dyDescent="0.15">
      <c r="A1615" s="6">
        <v>1614</v>
      </c>
      <c r="B1615" s="7" t="s">
        <v>9</v>
      </c>
      <c r="C1615" s="8">
        <v>1883</v>
      </c>
      <c r="D1615" s="9">
        <v>45395</v>
      </c>
      <c r="E1615" s="13" t="str">
        <f>+HYPERLINK("http://trademark.i-assist.jp/data/china/image_1883th/76405470.pdf","76405470")</f>
        <v>76405470</v>
      </c>
      <c r="F1615" s="7" t="s">
        <v>4446</v>
      </c>
      <c r="G1615" s="7" t="s">
        <v>4447</v>
      </c>
      <c r="H1615" s="7" t="s">
        <v>4448</v>
      </c>
      <c r="I1615" s="9">
        <v>45306</v>
      </c>
    </row>
    <row r="1616" spans="1:9" x14ac:dyDescent="0.15">
      <c r="A1616" s="6">
        <v>1615</v>
      </c>
      <c r="B1616" s="7" t="s">
        <v>9</v>
      </c>
      <c r="C1616" s="8">
        <v>1883</v>
      </c>
      <c r="D1616" s="9">
        <v>45395</v>
      </c>
      <c r="E1616" s="13" t="str">
        <f>+HYPERLINK("http://trademark.i-assist.jp/data/china/image_1883th/76405541.pdf","76405541")</f>
        <v>76405541</v>
      </c>
      <c r="F1616" s="7" t="s">
        <v>3844</v>
      </c>
      <c r="G1616" s="7" t="s">
        <v>3845</v>
      </c>
      <c r="H1616" s="7" t="s">
        <v>4449</v>
      </c>
      <c r="I1616" s="9">
        <v>45305</v>
      </c>
    </row>
    <row r="1617" spans="1:9" x14ac:dyDescent="0.15">
      <c r="A1617" s="6">
        <v>1616</v>
      </c>
      <c r="B1617" s="7" t="s">
        <v>9</v>
      </c>
      <c r="C1617" s="8">
        <v>1883</v>
      </c>
      <c r="D1617" s="9">
        <v>45395</v>
      </c>
      <c r="E1617" s="13" t="str">
        <f>+HYPERLINK("http://trademark.i-assist.jp/data/china/image_1883th/76405643.pdf","76405643")</f>
        <v>76405643</v>
      </c>
      <c r="F1617" s="7" t="s">
        <v>4450</v>
      </c>
      <c r="G1617" s="7" t="s">
        <v>4451</v>
      </c>
      <c r="H1617" s="7" t="s">
        <v>4452</v>
      </c>
      <c r="I1617" s="9">
        <v>45307</v>
      </c>
    </row>
    <row r="1618" spans="1:9" x14ac:dyDescent="0.15">
      <c r="A1618" s="6">
        <v>1617</v>
      </c>
      <c r="B1618" s="7" t="s">
        <v>9</v>
      </c>
      <c r="C1618" s="8">
        <v>1883</v>
      </c>
      <c r="D1618" s="9">
        <v>45395</v>
      </c>
      <c r="E1618" s="13" t="str">
        <f>+HYPERLINK("http://trademark.i-assist.jp/data/china/image_1883th/76405726.pdf","76405726")</f>
        <v>76405726</v>
      </c>
      <c r="F1618" s="7" t="s">
        <v>4453</v>
      </c>
      <c r="G1618" s="7" t="s">
        <v>4454</v>
      </c>
      <c r="H1618" s="7" t="s">
        <v>4455</v>
      </c>
      <c r="I1618" s="9">
        <v>45307</v>
      </c>
    </row>
    <row r="1619" spans="1:9" ht="27" x14ac:dyDescent="0.15">
      <c r="A1619" s="6">
        <v>1618</v>
      </c>
      <c r="B1619" s="7" t="s">
        <v>9</v>
      </c>
      <c r="C1619" s="8">
        <v>1883</v>
      </c>
      <c r="D1619" s="9">
        <v>45395</v>
      </c>
      <c r="E1619" s="13" t="str">
        <f>+HYPERLINK("http://trademark.i-assist.jp/data/china/image_1883th/76405944.pdf","76405944")</f>
        <v>76405944</v>
      </c>
      <c r="F1619" s="7" t="s">
        <v>4456</v>
      </c>
      <c r="G1619" s="7" t="s">
        <v>4457</v>
      </c>
      <c r="H1619" s="7" t="s">
        <v>4458</v>
      </c>
      <c r="I1619" s="9">
        <v>45307</v>
      </c>
    </row>
    <row r="1620" spans="1:9" ht="27" x14ac:dyDescent="0.15">
      <c r="A1620" s="6">
        <v>1619</v>
      </c>
      <c r="B1620" s="7" t="s">
        <v>9</v>
      </c>
      <c r="C1620" s="8">
        <v>1883</v>
      </c>
      <c r="D1620" s="9">
        <v>45395</v>
      </c>
      <c r="E1620" s="13" t="str">
        <f>+HYPERLINK("http://trademark.i-assist.jp/data/china/image_1883th/76405983.pdf","76405983")</f>
        <v>76405983</v>
      </c>
      <c r="F1620" s="7" t="s">
        <v>4459</v>
      </c>
      <c r="G1620" s="7" t="s">
        <v>4460</v>
      </c>
      <c r="H1620" s="7" t="s">
        <v>4461</v>
      </c>
      <c r="I1620" s="9">
        <v>45307</v>
      </c>
    </row>
    <row r="1621" spans="1:9" x14ac:dyDescent="0.15">
      <c r="A1621" s="6">
        <v>1620</v>
      </c>
      <c r="B1621" s="7" t="s">
        <v>9</v>
      </c>
      <c r="C1621" s="8">
        <v>1883</v>
      </c>
      <c r="D1621" s="9">
        <v>45395</v>
      </c>
      <c r="E1621" s="13" t="str">
        <f>+HYPERLINK("http://trademark.i-assist.jp/data/china/image_1883th/76406094.pdf","76406094")</f>
        <v>76406094</v>
      </c>
      <c r="F1621" s="7" t="s">
        <v>4462</v>
      </c>
      <c r="G1621" s="7" t="s">
        <v>4463</v>
      </c>
      <c r="H1621" s="7" t="s">
        <v>4464</v>
      </c>
      <c r="I1621" s="9">
        <v>45307</v>
      </c>
    </row>
    <row r="1622" spans="1:9" x14ac:dyDescent="0.15">
      <c r="A1622" s="6">
        <v>1621</v>
      </c>
      <c r="B1622" s="7" t="s">
        <v>9</v>
      </c>
      <c r="C1622" s="8">
        <v>1883</v>
      </c>
      <c r="D1622" s="9">
        <v>45395</v>
      </c>
      <c r="E1622" s="13" t="str">
        <f>+HYPERLINK("http://trademark.i-assist.jp/data/china/image_1883th/76406136.pdf","76406136")</f>
        <v>76406136</v>
      </c>
      <c r="F1622" s="7" t="s">
        <v>4465</v>
      </c>
      <c r="G1622" s="7" t="s">
        <v>4466</v>
      </c>
      <c r="H1622" s="7" t="s">
        <v>4467</v>
      </c>
      <c r="I1622" s="9">
        <v>45307</v>
      </c>
    </row>
    <row r="1623" spans="1:9" x14ac:dyDescent="0.15">
      <c r="A1623" s="6">
        <v>1622</v>
      </c>
      <c r="B1623" s="7" t="s">
        <v>9</v>
      </c>
      <c r="C1623" s="8">
        <v>1883</v>
      </c>
      <c r="D1623" s="9">
        <v>45395</v>
      </c>
      <c r="E1623" s="13" t="str">
        <f>+HYPERLINK("http://trademark.i-assist.jp/data/china/image_1883th/76406373.pdf","76406373")</f>
        <v>76406373</v>
      </c>
      <c r="F1623" s="7" t="s">
        <v>4468</v>
      </c>
      <c r="G1623" s="7" t="s">
        <v>4469</v>
      </c>
      <c r="H1623" s="7" t="s">
        <v>4470</v>
      </c>
      <c r="I1623" s="9">
        <v>45307</v>
      </c>
    </row>
    <row r="1624" spans="1:9" x14ac:dyDescent="0.15">
      <c r="A1624" s="6">
        <v>1623</v>
      </c>
      <c r="B1624" s="7" t="s">
        <v>9</v>
      </c>
      <c r="C1624" s="8">
        <v>1883</v>
      </c>
      <c r="D1624" s="9">
        <v>45395</v>
      </c>
      <c r="E1624" s="13" t="str">
        <f>+HYPERLINK("http://trademark.i-assist.jp/data/china/image_1883th/76406465.pdf","76406465")</f>
        <v>76406465</v>
      </c>
      <c r="F1624" s="7" t="s">
        <v>4471</v>
      </c>
      <c r="G1624" s="7" t="s">
        <v>2047</v>
      </c>
      <c r="H1624" s="7" t="s">
        <v>4472</v>
      </c>
      <c r="I1624" s="9">
        <v>45307</v>
      </c>
    </row>
    <row r="1625" spans="1:9" x14ac:dyDescent="0.15">
      <c r="A1625" s="6">
        <v>1624</v>
      </c>
      <c r="B1625" s="7" t="s">
        <v>9</v>
      </c>
      <c r="C1625" s="8">
        <v>1883</v>
      </c>
      <c r="D1625" s="9">
        <v>45395</v>
      </c>
      <c r="E1625" s="13" t="str">
        <f>+HYPERLINK("http://trademark.i-assist.jp/data/china/image_1883th/76406499.pdf","76406499")</f>
        <v>76406499</v>
      </c>
      <c r="F1625" s="7" t="s">
        <v>4473</v>
      </c>
      <c r="G1625" s="7" t="s">
        <v>4474</v>
      </c>
      <c r="H1625" s="7" t="s">
        <v>4475</v>
      </c>
      <c r="I1625" s="9">
        <v>45307</v>
      </c>
    </row>
    <row r="1626" spans="1:9" x14ac:dyDescent="0.15">
      <c r="A1626" s="6">
        <v>1625</v>
      </c>
      <c r="B1626" s="7" t="s">
        <v>9</v>
      </c>
      <c r="C1626" s="8">
        <v>1883</v>
      </c>
      <c r="D1626" s="9">
        <v>45395</v>
      </c>
      <c r="E1626" s="13" t="str">
        <f>+HYPERLINK("http://trademark.i-assist.jp/data/china/image_1883th/76406519.pdf","76406519")</f>
        <v>76406519</v>
      </c>
      <c r="F1626" s="7" t="s">
        <v>4476</v>
      </c>
      <c r="G1626" s="7" t="s">
        <v>2047</v>
      </c>
      <c r="H1626" s="7" t="s">
        <v>4477</v>
      </c>
      <c r="I1626" s="9">
        <v>45307</v>
      </c>
    </row>
    <row r="1627" spans="1:9" x14ac:dyDescent="0.15">
      <c r="A1627" s="6">
        <v>1626</v>
      </c>
      <c r="B1627" s="7" t="s">
        <v>9</v>
      </c>
      <c r="C1627" s="8">
        <v>1883</v>
      </c>
      <c r="D1627" s="9">
        <v>45395</v>
      </c>
      <c r="E1627" s="13" t="str">
        <f>+HYPERLINK("http://trademark.i-assist.jp/data/china/image_1883th/76406529.pdf","76406529")</f>
        <v>76406529</v>
      </c>
      <c r="F1627" s="7" t="s">
        <v>4478</v>
      </c>
      <c r="G1627" s="7" t="s">
        <v>2047</v>
      </c>
      <c r="H1627" s="7" t="s">
        <v>4479</v>
      </c>
      <c r="I1627" s="9">
        <v>45307</v>
      </c>
    </row>
    <row r="1628" spans="1:9" ht="27" x14ac:dyDescent="0.15">
      <c r="A1628" s="6">
        <v>1627</v>
      </c>
      <c r="B1628" s="7" t="s">
        <v>9</v>
      </c>
      <c r="C1628" s="8">
        <v>1883</v>
      </c>
      <c r="D1628" s="9">
        <v>45395</v>
      </c>
      <c r="E1628" s="13" t="str">
        <f>+HYPERLINK("http://trademark.i-assist.jp/data/china/image_1883th/76406819.pdf","76406819")</f>
        <v>76406819</v>
      </c>
      <c r="F1628" s="7" t="s">
        <v>4480</v>
      </c>
      <c r="G1628" s="7" t="s">
        <v>4481</v>
      </c>
      <c r="H1628" s="7" t="s">
        <v>4482</v>
      </c>
      <c r="I1628" s="9">
        <v>45307</v>
      </c>
    </row>
    <row r="1629" spans="1:9" x14ac:dyDescent="0.15">
      <c r="A1629" s="6">
        <v>1628</v>
      </c>
      <c r="B1629" s="7" t="s">
        <v>9</v>
      </c>
      <c r="C1629" s="8">
        <v>1883</v>
      </c>
      <c r="D1629" s="9">
        <v>45395</v>
      </c>
      <c r="E1629" s="13" t="str">
        <f>+HYPERLINK("http://trademark.i-assist.jp/data/china/image_1883th/76406837.pdf","76406837")</f>
        <v>76406837</v>
      </c>
      <c r="F1629" s="7" t="s">
        <v>4483</v>
      </c>
      <c r="G1629" s="7" t="s">
        <v>4484</v>
      </c>
      <c r="H1629" s="7" t="s">
        <v>4485</v>
      </c>
      <c r="I1629" s="9">
        <v>45307</v>
      </c>
    </row>
    <row r="1630" spans="1:9" x14ac:dyDescent="0.15">
      <c r="A1630" s="6">
        <v>1629</v>
      </c>
      <c r="B1630" s="7" t="s">
        <v>9</v>
      </c>
      <c r="C1630" s="8">
        <v>1883</v>
      </c>
      <c r="D1630" s="9">
        <v>45395</v>
      </c>
      <c r="E1630" s="13" t="str">
        <f>+HYPERLINK("http://trademark.i-assist.jp/data/china/image_1883th/76407112.pdf","76407112")</f>
        <v>76407112</v>
      </c>
      <c r="F1630" s="7" t="s">
        <v>4486</v>
      </c>
      <c r="G1630" s="7" t="s">
        <v>4487</v>
      </c>
      <c r="H1630" s="7" t="s">
        <v>4488</v>
      </c>
      <c r="I1630" s="9">
        <v>45307</v>
      </c>
    </row>
    <row r="1631" spans="1:9" x14ac:dyDescent="0.15">
      <c r="A1631" s="6">
        <v>1630</v>
      </c>
      <c r="B1631" s="7" t="s">
        <v>9</v>
      </c>
      <c r="C1631" s="8">
        <v>1883</v>
      </c>
      <c r="D1631" s="9">
        <v>45395</v>
      </c>
      <c r="E1631" s="13" t="str">
        <f>+HYPERLINK("http://trademark.i-assist.jp/data/china/image_1883th/76407144.pdf","76407144")</f>
        <v>76407144</v>
      </c>
      <c r="F1631" s="7" t="s">
        <v>4489</v>
      </c>
      <c r="G1631" s="7" t="s">
        <v>4490</v>
      </c>
      <c r="H1631" s="7" t="s">
        <v>4491</v>
      </c>
      <c r="I1631" s="9">
        <v>45307</v>
      </c>
    </row>
    <row r="1632" spans="1:9" ht="27" x14ac:dyDescent="0.15">
      <c r="A1632" s="6">
        <v>1631</v>
      </c>
      <c r="B1632" s="7" t="s">
        <v>9</v>
      </c>
      <c r="C1632" s="8">
        <v>1883</v>
      </c>
      <c r="D1632" s="9">
        <v>45395</v>
      </c>
      <c r="E1632" s="13" t="str">
        <f>+HYPERLINK("http://trademark.i-assist.jp/data/china/image_1883th/76407165.pdf","76407165")</f>
        <v>76407165</v>
      </c>
      <c r="F1632" s="7" t="s">
        <v>4492</v>
      </c>
      <c r="G1632" s="7" t="s">
        <v>4493</v>
      </c>
      <c r="H1632" s="7" t="s">
        <v>4494</v>
      </c>
      <c r="I1632" s="9">
        <v>45307</v>
      </c>
    </row>
    <row r="1633" spans="1:9" x14ac:dyDescent="0.15">
      <c r="A1633" s="6">
        <v>1632</v>
      </c>
      <c r="B1633" s="7" t="s">
        <v>9</v>
      </c>
      <c r="C1633" s="8">
        <v>1883</v>
      </c>
      <c r="D1633" s="9">
        <v>45395</v>
      </c>
      <c r="E1633" s="13" t="str">
        <f>+HYPERLINK("http://trademark.i-assist.jp/data/china/image_1883th/76407193.pdf","76407193")</f>
        <v>76407193</v>
      </c>
      <c r="F1633" s="7" t="s">
        <v>57</v>
      </c>
      <c r="G1633" s="7" t="s">
        <v>4495</v>
      </c>
      <c r="H1633" s="7" t="s">
        <v>4496</v>
      </c>
      <c r="I1633" s="9">
        <v>45307</v>
      </c>
    </row>
    <row r="1634" spans="1:9" x14ac:dyDescent="0.15">
      <c r="A1634" s="6">
        <v>1633</v>
      </c>
      <c r="B1634" s="7" t="s">
        <v>9</v>
      </c>
      <c r="C1634" s="8">
        <v>1883</v>
      </c>
      <c r="D1634" s="9">
        <v>45395</v>
      </c>
      <c r="E1634" s="13" t="str">
        <f>+HYPERLINK("http://trademark.i-assist.jp/data/china/image_1883th/76407253.pdf","76407253")</f>
        <v>76407253</v>
      </c>
      <c r="F1634" s="7" t="s">
        <v>4497</v>
      </c>
      <c r="G1634" s="7" t="s">
        <v>4498</v>
      </c>
      <c r="H1634" s="7" t="s">
        <v>4499</v>
      </c>
      <c r="I1634" s="9">
        <v>45307</v>
      </c>
    </row>
    <row r="1635" spans="1:9" x14ac:dyDescent="0.15">
      <c r="A1635" s="6">
        <v>1634</v>
      </c>
      <c r="B1635" s="7" t="s">
        <v>9</v>
      </c>
      <c r="C1635" s="8">
        <v>1883</v>
      </c>
      <c r="D1635" s="9">
        <v>45395</v>
      </c>
      <c r="E1635" s="13" t="str">
        <f>+HYPERLINK("http://trademark.i-assist.jp/data/china/image_1883th/76407293.pdf","76407293")</f>
        <v>76407293</v>
      </c>
      <c r="F1635" s="7" t="s">
        <v>4500</v>
      </c>
      <c r="G1635" s="7" t="s">
        <v>1716</v>
      </c>
      <c r="H1635" s="7" t="s">
        <v>4501</v>
      </c>
      <c r="I1635" s="9">
        <v>45307</v>
      </c>
    </row>
    <row r="1636" spans="1:9" x14ac:dyDescent="0.15">
      <c r="A1636" s="6">
        <v>1635</v>
      </c>
      <c r="B1636" s="7" t="s">
        <v>9</v>
      </c>
      <c r="C1636" s="8">
        <v>1883</v>
      </c>
      <c r="D1636" s="9">
        <v>45395</v>
      </c>
      <c r="E1636" s="13" t="str">
        <f>+HYPERLINK("http://trademark.i-assist.jp/data/china/image_1883th/76407363.pdf","76407363")</f>
        <v>76407363</v>
      </c>
      <c r="F1636" s="7" t="s">
        <v>4502</v>
      </c>
      <c r="G1636" s="7" t="s">
        <v>4503</v>
      </c>
      <c r="H1636" s="7" t="s">
        <v>4504</v>
      </c>
      <c r="I1636" s="9">
        <v>45307</v>
      </c>
    </row>
    <row r="1637" spans="1:9" x14ac:dyDescent="0.15">
      <c r="A1637" s="6">
        <v>1636</v>
      </c>
      <c r="B1637" s="7" t="s">
        <v>9</v>
      </c>
      <c r="C1637" s="8">
        <v>1883</v>
      </c>
      <c r="D1637" s="9">
        <v>45395</v>
      </c>
      <c r="E1637" s="13" t="str">
        <f>+HYPERLINK("http://trademark.i-assist.jp/data/china/image_1883th/76407400.pdf","76407400")</f>
        <v>76407400</v>
      </c>
      <c r="F1637" s="7" t="s">
        <v>4505</v>
      </c>
      <c r="G1637" s="7" t="s">
        <v>4506</v>
      </c>
      <c r="H1637" s="7" t="s">
        <v>4507</v>
      </c>
      <c r="I1637" s="9">
        <v>45307</v>
      </c>
    </row>
    <row r="1638" spans="1:9" ht="27" x14ac:dyDescent="0.15">
      <c r="A1638" s="6">
        <v>1637</v>
      </c>
      <c r="B1638" s="7" t="s">
        <v>9</v>
      </c>
      <c r="C1638" s="8">
        <v>1883</v>
      </c>
      <c r="D1638" s="9">
        <v>45395</v>
      </c>
      <c r="E1638" s="13" t="str">
        <f>+HYPERLINK("http://trademark.i-assist.jp/data/china/image_1883th/76407470.pdf","76407470")</f>
        <v>76407470</v>
      </c>
      <c r="F1638" s="7" t="s">
        <v>4508</v>
      </c>
      <c r="G1638" s="7" t="s">
        <v>4509</v>
      </c>
      <c r="H1638" s="7" t="s">
        <v>4510</v>
      </c>
      <c r="I1638" s="9">
        <v>45307</v>
      </c>
    </row>
    <row r="1639" spans="1:9" ht="27" x14ac:dyDescent="0.15">
      <c r="A1639" s="6">
        <v>1638</v>
      </c>
      <c r="B1639" s="7" t="s">
        <v>9</v>
      </c>
      <c r="C1639" s="8">
        <v>1883</v>
      </c>
      <c r="D1639" s="9">
        <v>45395</v>
      </c>
      <c r="E1639" s="13" t="str">
        <f>+HYPERLINK("http://trademark.i-assist.jp/data/china/image_1883th/76407475.pdf","76407475")</f>
        <v>76407475</v>
      </c>
      <c r="F1639" s="7" t="s">
        <v>57</v>
      </c>
      <c r="G1639" s="7" t="s">
        <v>4371</v>
      </c>
      <c r="H1639" s="7" t="s">
        <v>4511</v>
      </c>
      <c r="I1639" s="9">
        <v>45307</v>
      </c>
    </row>
    <row r="1640" spans="1:9" x14ac:dyDescent="0.15">
      <c r="A1640" s="6">
        <v>1639</v>
      </c>
      <c r="B1640" s="7" t="s">
        <v>9</v>
      </c>
      <c r="C1640" s="8">
        <v>1883</v>
      </c>
      <c r="D1640" s="9">
        <v>45395</v>
      </c>
      <c r="E1640" s="13" t="str">
        <f>+HYPERLINK("http://trademark.i-assist.jp/data/china/image_1883th/76407505.pdf","76407505")</f>
        <v>76407505</v>
      </c>
      <c r="F1640" s="7" t="s">
        <v>4512</v>
      </c>
      <c r="G1640" s="7" t="s">
        <v>4513</v>
      </c>
      <c r="H1640" s="7" t="s">
        <v>4514</v>
      </c>
      <c r="I1640" s="9">
        <v>45307</v>
      </c>
    </row>
    <row r="1641" spans="1:9" x14ac:dyDescent="0.15">
      <c r="A1641" s="6">
        <v>1640</v>
      </c>
      <c r="B1641" s="7" t="s">
        <v>9</v>
      </c>
      <c r="C1641" s="8">
        <v>1883</v>
      </c>
      <c r="D1641" s="9">
        <v>45395</v>
      </c>
      <c r="E1641" s="13" t="str">
        <f>+HYPERLINK("http://trademark.i-assist.jp/data/china/image_1883th/76407509.pdf","76407509")</f>
        <v>76407509</v>
      </c>
      <c r="F1641" s="7" t="s">
        <v>4515</v>
      </c>
      <c r="G1641" s="7" t="s">
        <v>4516</v>
      </c>
      <c r="H1641" s="7" t="s">
        <v>4517</v>
      </c>
      <c r="I1641" s="9">
        <v>45307</v>
      </c>
    </row>
    <row r="1642" spans="1:9" x14ac:dyDescent="0.15">
      <c r="A1642" s="6">
        <v>1641</v>
      </c>
      <c r="B1642" s="7" t="s">
        <v>9</v>
      </c>
      <c r="C1642" s="8">
        <v>1883</v>
      </c>
      <c r="D1642" s="9">
        <v>45395</v>
      </c>
      <c r="E1642" s="13" t="str">
        <f>+HYPERLINK("http://trademark.i-assist.jp/data/china/image_1883th/76407637.pdf","76407637")</f>
        <v>76407637</v>
      </c>
      <c r="F1642" s="7" t="s">
        <v>4518</v>
      </c>
      <c r="G1642" s="7" t="s">
        <v>4519</v>
      </c>
      <c r="H1642" s="7" t="s">
        <v>4520</v>
      </c>
      <c r="I1642" s="9">
        <v>45307</v>
      </c>
    </row>
    <row r="1643" spans="1:9" x14ac:dyDescent="0.15">
      <c r="A1643" s="6">
        <v>1642</v>
      </c>
      <c r="B1643" s="7" t="s">
        <v>9</v>
      </c>
      <c r="C1643" s="8">
        <v>1883</v>
      </c>
      <c r="D1643" s="9">
        <v>45395</v>
      </c>
      <c r="E1643" s="13" t="str">
        <f>+HYPERLINK("http://trademark.i-assist.jp/data/china/image_1883th/76407854.pdf","76407854")</f>
        <v>76407854</v>
      </c>
      <c r="F1643" s="7" t="s">
        <v>4521</v>
      </c>
      <c r="G1643" s="7" t="s">
        <v>4522</v>
      </c>
      <c r="H1643" s="7" t="s">
        <v>4523</v>
      </c>
      <c r="I1643" s="9">
        <v>45307</v>
      </c>
    </row>
    <row r="1644" spans="1:9" x14ac:dyDescent="0.15">
      <c r="A1644" s="6">
        <v>1643</v>
      </c>
      <c r="B1644" s="7" t="s">
        <v>9</v>
      </c>
      <c r="C1644" s="8">
        <v>1883</v>
      </c>
      <c r="D1644" s="9">
        <v>45395</v>
      </c>
      <c r="E1644" s="13" t="str">
        <f>+HYPERLINK("http://trademark.i-assist.jp/data/china/image_1883th/76407946.pdf","76407946")</f>
        <v>76407946</v>
      </c>
      <c r="F1644" s="7" t="s">
        <v>4524</v>
      </c>
      <c r="G1644" s="7" t="s">
        <v>4525</v>
      </c>
      <c r="H1644" s="7" t="s">
        <v>4526</v>
      </c>
      <c r="I1644" s="9">
        <v>45307</v>
      </c>
    </row>
    <row r="1645" spans="1:9" x14ac:dyDescent="0.15">
      <c r="A1645" s="6">
        <v>1644</v>
      </c>
      <c r="B1645" s="7" t="s">
        <v>9</v>
      </c>
      <c r="C1645" s="8">
        <v>1883</v>
      </c>
      <c r="D1645" s="9">
        <v>45395</v>
      </c>
      <c r="E1645" s="13" t="str">
        <f>+HYPERLINK("http://trademark.i-assist.jp/data/china/image_1883th/76407998.pdf","76407998")</f>
        <v>76407998</v>
      </c>
      <c r="F1645" s="7" t="s">
        <v>4527</v>
      </c>
      <c r="G1645" s="7" t="s">
        <v>4528</v>
      </c>
      <c r="H1645" s="7" t="s">
        <v>4529</v>
      </c>
      <c r="I1645" s="9">
        <v>45307</v>
      </c>
    </row>
    <row r="1646" spans="1:9" x14ac:dyDescent="0.15">
      <c r="A1646" s="6">
        <v>1645</v>
      </c>
      <c r="B1646" s="7" t="s">
        <v>9</v>
      </c>
      <c r="C1646" s="8">
        <v>1883</v>
      </c>
      <c r="D1646" s="9">
        <v>45395</v>
      </c>
      <c r="E1646" s="13" t="str">
        <f>+HYPERLINK("http://trademark.i-assist.jp/data/china/image_1883th/76408062.pdf","76408062")</f>
        <v>76408062</v>
      </c>
      <c r="F1646" s="7" t="s">
        <v>4530</v>
      </c>
      <c r="G1646" s="7" t="s">
        <v>4531</v>
      </c>
      <c r="H1646" s="7" t="s">
        <v>4532</v>
      </c>
      <c r="I1646" s="9">
        <v>45307</v>
      </c>
    </row>
    <row r="1647" spans="1:9" ht="27" x14ac:dyDescent="0.15">
      <c r="A1647" s="6">
        <v>1646</v>
      </c>
      <c r="B1647" s="7" t="s">
        <v>9</v>
      </c>
      <c r="C1647" s="8">
        <v>1883</v>
      </c>
      <c r="D1647" s="9">
        <v>45395</v>
      </c>
      <c r="E1647" s="13" t="str">
        <f>+HYPERLINK("http://trademark.i-assist.jp/data/china/image_1883th/76408155.pdf","76408155")</f>
        <v>76408155</v>
      </c>
      <c r="F1647" s="7" t="s">
        <v>4533</v>
      </c>
      <c r="G1647" s="7" t="s">
        <v>4534</v>
      </c>
      <c r="H1647" s="7" t="s">
        <v>4535</v>
      </c>
      <c r="I1647" s="9">
        <v>45307</v>
      </c>
    </row>
    <row r="1648" spans="1:9" x14ac:dyDescent="0.15">
      <c r="A1648" s="6">
        <v>1647</v>
      </c>
      <c r="B1648" s="7" t="s">
        <v>9</v>
      </c>
      <c r="C1648" s="8">
        <v>1883</v>
      </c>
      <c r="D1648" s="9">
        <v>45395</v>
      </c>
      <c r="E1648" s="13" t="str">
        <f>+HYPERLINK("http://trademark.i-assist.jp/data/china/image_1883th/76408180.pdf","76408180")</f>
        <v>76408180</v>
      </c>
      <c r="F1648" s="7" t="s">
        <v>57</v>
      </c>
      <c r="G1648" s="7" t="s">
        <v>4402</v>
      </c>
      <c r="H1648" s="7" t="s">
        <v>4536</v>
      </c>
      <c r="I1648" s="9">
        <v>45307</v>
      </c>
    </row>
    <row r="1649" spans="1:9" ht="27" x14ac:dyDescent="0.15">
      <c r="A1649" s="6">
        <v>1648</v>
      </c>
      <c r="B1649" s="7" t="s">
        <v>9</v>
      </c>
      <c r="C1649" s="8">
        <v>1883</v>
      </c>
      <c r="D1649" s="9">
        <v>45395</v>
      </c>
      <c r="E1649" s="13" t="str">
        <f>+HYPERLINK("http://trademark.i-assist.jp/data/china/image_1883th/76408468.pdf","76408468")</f>
        <v>76408468</v>
      </c>
      <c r="F1649" s="7" t="s">
        <v>4537</v>
      </c>
      <c r="G1649" s="7" t="s">
        <v>4538</v>
      </c>
      <c r="H1649" s="7" t="s">
        <v>4539</v>
      </c>
      <c r="I1649" s="9">
        <v>45307</v>
      </c>
    </row>
    <row r="1650" spans="1:9" x14ac:dyDescent="0.15">
      <c r="A1650" s="6">
        <v>1649</v>
      </c>
      <c r="B1650" s="7" t="s">
        <v>9</v>
      </c>
      <c r="C1650" s="8">
        <v>1883</v>
      </c>
      <c r="D1650" s="9">
        <v>45395</v>
      </c>
      <c r="E1650" s="13" t="str">
        <f>+HYPERLINK("http://trademark.i-assist.jp/data/china/image_1883th/76408549.pdf","76408549")</f>
        <v>76408549</v>
      </c>
      <c r="F1650" s="7" t="s">
        <v>4540</v>
      </c>
      <c r="G1650" s="7" t="s">
        <v>4541</v>
      </c>
      <c r="H1650" s="7" t="s">
        <v>4542</v>
      </c>
      <c r="I1650" s="9">
        <v>45307</v>
      </c>
    </row>
    <row r="1651" spans="1:9" x14ac:dyDescent="0.15">
      <c r="A1651" s="6">
        <v>1650</v>
      </c>
      <c r="B1651" s="7" t="s">
        <v>9</v>
      </c>
      <c r="C1651" s="8">
        <v>1883</v>
      </c>
      <c r="D1651" s="9">
        <v>45395</v>
      </c>
      <c r="E1651" s="13" t="str">
        <f>+HYPERLINK("http://trademark.i-assist.jp/data/china/image_1883th/76408616.pdf","76408616")</f>
        <v>76408616</v>
      </c>
      <c r="F1651" s="7" t="s">
        <v>4543</v>
      </c>
      <c r="G1651" s="7" t="s">
        <v>4544</v>
      </c>
      <c r="H1651" s="7" t="s">
        <v>4545</v>
      </c>
      <c r="I1651" s="9">
        <v>45307</v>
      </c>
    </row>
    <row r="1652" spans="1:9" x14ac:dyDescent="0.15">
      <c r="A1652" s="6">
        <v>1651</v>
      </c>
      <c r="B1652" s="7" t="s">
        <v>9</v>
      </c>
      <c r="C1652" s="8">
        <v>1883</v>
      </c>
      <c r="D1652" s="9">
        <v>45395</v>
      </c>
      <c r="E1652" s="13" t="str">
        <f>+HYPERLINK("http://trademark.i-assist.jp/data/china/image_1883th/76408667.pdf","76408667")</f>
        <v>76408667</v>
      </c>
      <c r="F1652" s="7" t="s">
        <v>4546</v>
      </c>
      <c r="G1652" s="7" t="s">
        <v>4547</v>
      </c>
      <c r="H1652" s="7" t="s">
        <v>4548</v>
      </c>
      <c r="I1652" s="9">
        <v>45307</v>
      </c>
    </row>
    <row r="1653" spans="1:9" ht="27" x14ac:dyDescent="0.15">
      <c r="A1653" s="6">
        <v>1652</v>
      </c>
      <c r="B1653" s="7" t="s">
        <v>9</v>
      </c>
      <c r="C1653" s="8">
        <v>1883</v>
      </c>
      <c r="D1653" s="9">
        <v>45395</v>
      </c>
      <c r="E1653" s="13" t="str">
        <f>+HYPERLINK("http://trademark.i-assist.jp/data/china/image_1883th/76408673.pdf","76408673")</f>
        <v>76408673</v>
      </c>
      <c r="F1653" s="7" t="s">
        <v>4549</v>
      </c>
      <c r="G1653" s="7" t="s">
        <v>4550</v>
      </c>
      <c r="H1653" s="7" t="s">
        <v>4551</v>
      </c>
      <c r="I1653" s="9">
        <v>45307</v>
      </c>
    </row>
    <row r="1654" spans="1:9" x14ac:dyDescent="0.15">
      <c r="A1654" s="6">
        <v>1653</v>
      </c>
      <c r="B1654" s="7" t="s">
        <v>9</v>
      </c>
      <c r="C1654" s="8">
        <v>1883</v>
      </c>
      <c r="D1654" s="9">
        <v>45395</v>
      </c>
      <c r="E1654" s="13" t="str">
        <f>+HYPERLINK("http://trademark.i-assist.jp/data/china/image_1883th/76408855.pdf","76408855")</f>
        <v>76408855</v>
      </c>
      <c r="F1654" s="7" t="s">
        <v>4552</v>
      </c>
      <c r="G1654" s="7" t="s">
        <v>4553</v>
      </c>
      <c r="H1654" s="7" t="s">
        <v>4554</v>
      </c>
      <c r="I1654" s="9">
        <v>45307</v>
      </c>
    </row>
    <row r="1655" spans="1:9" x14ac:dyDescent="0.15">
      <c r="A1655" s="6">
        <v>1654</v>
      </c>
      <c r="B1655" s="7" t="s">
        <v>9</v>
      </c>
      <c r="C1655" s="8">
        <v>1883</v>
      </c>
      <c r="D1655" s="9">
        <v>45395</v>
      </c>
      <c r="E1655" s="13" t="str">
        <f>+HYPERLINK("http://trademark.i-assist.jp/data/china/image_1883th/76408893.pdf","76408893")</f>
        <v>76408893</v>
      </c>
      <c r="F1655" s="7" t="s">
        <v>4555</v>
      </c>
      <c r="G1655" s="7" t="s">
        <v>4498</v>
      </c>
      <c r="H1655" s="7" t="s">
        <v>4556</v>
      </c>
      <c r="I1655" s="9">
        <v>45307</v>
      </c>
    </row>
    <row r="1656" spans="1:9" x14ac:dyDescent="0.15">
      <c r="A1656" s="6">
        <v>1655</v>
      </c>
      <c r="B1656" s="7" t="s">
        <v>9</v>
      </c>
      <c r="C1656" s="8">
        <v>1883</v>
      </c>
      <c r="D1656" s="9">
        <v>45395</v>
      </c>
      <c r="E1656" s="13" t="str">
        <f>+HYPERLINK("http://trademark.i-assist.jp/data/china/image_1883th/76409108.pdf","76409108")</f>
        <v>76409108</v>
      </c>
      <c r="F1656" s="7" t="s">
        <v>4557</v>
      </c>
      <c r="G1656" s="7" t="s">
        <v>4558</v>
      </c>
      <c r="H1656" s="7" t="s">
        <v>4559</v>
      </c>
      <c r="I1656" s="9">
        <v>45307</v>
      </c>
    </row>
    <row r="1657" spans="1:9" x14ac:dyDescent="0.15">
      <c r="A1657" s="6">
        <v>1656</v>
      </c>
      <c r="B1657" s="7" t="s">
        <v>9</v>
      </c>
      <c r="C1657" s="8">
        <v>1883</v>
      </c>
      <c r="D1657" s="9">
        <v>45395</v>
      </c>
      <c r="E1657" s="13" t="str">
        <f>+HYPERLINK("http://trademark.i-assist.jp/data/china/image_1883th/76409200.pdf","76409200")</f>
        <v>76409200</v>
      </c>
      <c r="F1657" s="7" t="s">
        <v>57</v>
      </c>
      <c r="G1657" s="7" t="s">
        <v>4560</v>
      </c>
      <c r="H1657" s="7" t="s">
        <v>4561</v>
      </c>
      <c r="I1657" s="9">
        <v>45307</v>
      </c>
    </row>
    <row r="1658" spans="1:9" x14ac:dyDescent="0.15">
      <c r="A1658" s="6">
        <v>1657</v>
      </c>
      <c r="B1658" s="7" t="s">
        <v>9</v>
      </c>
      <c r="C1658" s="8">
        <v>1883</v>
      </c>
      <c r="D1658" s="9">
        <v>45395</v>
      </c>
      <c r="E1658" s="13" t="str">
        <f>+HYPERLINK("http://trademark.i-assist.jp/data/china/image_1883th/76409228.pdf","76409228")</f>
        <v>76409228</v>
      </c>
      <c r="F1658" s="7" t="s">
        <v>4562</v>
      </c>
      <c r="G1658" s="7" t="s">
        <v>4563</v>
      </c>
      <c r="H1658" s="7" t="s">
        <v>4564</v>
      </c>
      <c r="I1658" s="9">
        <v>45307</v>
      </c>
    </row>
    <row r="1659" spans="1:9" x14ac:dyDescent="0.15">
      <c r="A1659" s="6">
        <v>1658</v>
      </c>
      <c r="B1659" s="7" t="s">
        <v>9</v>
      </c>
      <c r="C1659" s="8">
        <v>1883</v>
      </c>
      <c r="D1659" s="9">
        <v>45395</v>
      </c>
      <c r="E1659" s="13" t="str">
        <f>+HYPERLINK("http://trademark.i-assist.jp/data/china/image_1883th/76409423.pdf","76409423")</f>
        <v>76409423</v>
      </c>
      <c r="F1659" s="7" t="s">
        <v>4565</v>
      </c>
      <c r="G1659" s="7" t="s">
        <v>4566</v>
      </c>
      <c r="H1659" s="7" t="s">
        <v>4567</v>
      </c>
      <c r="I1659" s="9">
        <v>45307</v>
      </c>
    </row>
    <row r="1660" spans="1:9" x14ac:dyDescent="0.15">
      <c r="A1660" s="6">
        <v>1659</v>
      </c>
      <c r="B1660" s="7" t="s">
        <v>9</v>
      </c>
      <c r="C1660" s="8">
        <v>1883</v>
      </c>
      <c r="D1660" s="9">
        <v>45395</v>
      </c>
      <c r="E1660" s="13" t="str">
        <f>+HYPERLINK("http://trademark.i-assist.jp/data/china/image_1883th/76409425.pdf","76409425")</f>
        <v>76409425</v>
      </c>
      <c r="F1660" s="7" t="s">
        <v>4568</v>
      </c>
      <c r="G1660" s="7" t="s">
        <v>4569</v>
      </c>
      <c r="H1660" s="7" t="s">
        <v>4570</v>
      </c>
      <c r="I1660" s="9">
        <v>45307</v>
      </c>
    </row>
    <row r="1661" spans="1:9" x14ac:dyDescent="0.15">
      <c r="A1661" s="6">
        <v>1660</v>
      </c>
      <c r="B1661" s="7" t="s">
        <v>9</v>
      </c>
      <c r="C1661" s="8">
        <v>1883</v>
      </c>
      <c r="D1661" s="9">
        <v>45395</v>
      </c>
      <c r="E1661" s="13" t="str">
        <f>+HYPERLINK("http://trademark.i-assist.jp/data/china/image_1883th/76409850.pdf","76409850")</f>
        <v>76409850</v>
      </c>
      <c r="F1661" s="7" t="s">
        <v>4571</v>
      </c>
      <c r="G1661" s="7" t="s">
        <v>4572</v>
      </c>
      <c r="H1661" s="7" t="s">
        <v>4573</v>
      </c>
      <c r="I1661" s="9">
        <v>45307</v>
      </c>
    </row>
    <row r="1662" spans="1:9" x14ac:dyDescent="0.15">
      <c r="A1662" s="6">
        <v>1661</v>
      </c>
      <c r="B1662" s="7" t="s">
        <v>9</v>
      </c>
      <c r="C1662" s="8">
        <v>1883</v>
      </c>
      <c r="D1662" s="9">
        <v>45395</v>
      </c>
      <c r="E1662" s="13" t="str">
        <f>+HYPERLINK("http://trademark.i-assist.jp/data/china/image_1883th/76409876.pdf","76409876")</f>
        <v>76409876</v>
      </c>
      <c r="F1662" s="7" t="s">
        <v>4574</v>
      </c>
      <c r="G1662" s="7" t="s">
        <v>4575</v>
      </c>
      <c r="H1662" s="7" t="s">
        <v>4576</v>
      </c>
      <c r="I1662" s="9">
        <v>45307</v>
      </c>
    </row>
    <row r="1663" spans="1:9" x14ac:dyDescent="0.15">
      <c r="A1663" s="6">
        <v>1662</v>
      </c>
      <c r="B1663" s="7" t="s">
        <v>9</v>
      </c>
      <c r="C1663" s="8">
        <v>1883</v>
      </c>
      <c r="D1663" s="9">
        <v>45395</v>
      </c>
      <c r="E1663" s="13" t="str">
        <f>+HYPERLINK("http://trademark.i-assist.jp/data/china/image_1883th/76409953.pdf","76409953")</f>
        <v>76409953</v>
      </c>
      <c r="F1663" s="7" t="s">
        <v>4577</v>
      </c>
      <c r="G1663" s="7" t="s">
        <v>1513</v>
      </c>
      <c r="H1663" s="7" t="s">
        <v>4578</v>
      </c>
      <c r="I1663" s="9">
        <v>45307</v>
      </c>
    </row>
    <row r="1664" spans="1:9" x14ac:dyDescent="0.15">
      <c r="A1664" s="6">
        <v>1663</v>
      </c>
      <c r="B1664" s="7" t="s">
        <v>9</v>
      </c>
      <c r="C1664" s="8">
        <v>1883</v>
      </c>
      <c r="D1664" s="9">
        <v>45395</v>
      </c>
      <c r="E1664" s="13" t="str">
        <f>+HYPERLINK("http://trademark.i-assist.jp/data/china/image_1883th/76409966.pdf","76409966")</f>
        <v>76409966</v>
      </c>
      <c r="F1664" s="7" t="s">
        <v>4579</v>
      </c>
      <c r="G1664" s="7" t="s">
        <v>4580</v>
      </c>
      <c r="H1664" s="7" t="s">
        <v>4581</v>
      </c>
      <c r="I1664" s="9">
        <v>45307</v>
      </c>
    </row>
    <row r="1665" spans="1:9" x14ac:dyDescent="0.15">
      <c r="A1665" s="6">
        <v>1664</v>
      </c>
      <c r="B1665" s="7" t="s">
        <v>9</v>
      </c>
      <c r="C1665" s="8">
        <v>1883</v>
      </c>
      <c r="D1665" s="9">
        <v>45395</v>
      </c>
      <c r="E1665" s="13" t="str">
        <f>+HYPERLINK("http://trademark.i-assist.jp/data/china/image_1883th/76409976.pdf","76409976")</f>
        <v>76409976</v>
      </c>
      <c r="F1665" s="7" t="s">
        <v>4582</v>
      </c>
      <c r="G1665" s="7" t="s">
        <v>4583</v>
      </c>
      <c r="H1665" s="7" t="s">
        <v>4584</v>
      </c>
      <c r="I1665" s="9">
        <v>45307</v>
      </c>
    </row>
    <row r="1666" spans="1:9" x14ac:dyDescent="0.15">
      <c r="A1666" s="6">
        <v>1665</v>
      </c>
      <c r="B1666" s="7" t="s">
        <v>9</v>
      </c>
      <c r="C1666" s="8">
        <v>1883</v>
      </c>
      <c r="D1666" s="9">
        <v>45395</v>
      </c>
      <c r="E1666" s="13" t="str">
        <f>+HYPERLINK("http://trademark.i-assist.jp/data/china/image_1883th/76410010.pdf","76410010")</f>
        <v>76410010</v>
      </c>
      <c r="F1666" s="7" t="s">
        <v>4585</v>
      </c>
      <c r="G1666" s="7" t="s">
        <v>4586</v>
      </c>
      <c r="H1666" s="7" t="s">
        <v>4587</v>
      </c>
      <c r="I1666" s="9">
        <v>45307</v>
      </c>
    </row>
    <row r="1667" spans="1:9" ht="27" x14ac:dyDescent="0.15">
      <c r="A1667" s="6">
        <v>1666</v>
      </c>
      <c r="B1667" s="7" t="s">
        <v>9</v>
      </c>
      <c r="C1667" s="8">
        <v>1883</v>
      </c>
      <c r="D1667" s="9">
        <v>45395</v>
      </c>
      <c r="E1667" s="13" t="str">
        <f>+HYPERLINK("http://trademark.i-assist.jp/data/china/image_1883th/76410146.pdf","76410146")</f>
        <v>76410146</v>
      </c>
      <c r="F1667" s="7" t="s">
        <v>4588</v>
      </c>
      <c r="G1667" s="7" t="s">
        <v>4589</v>
      </c>
      <c r="H1667" s="7" t="s">
        <v>4590</v>
      </c>
      <c r="I1667" s="9">
        <v>45307</v>
      </c>
    </row>
    <row r="1668" spans="1:9" x14ac:dyDescent="0.15">
      <c r="A1668" s="6">
        <v>1667</v>
      </c>
      <c r="B1668" s="7" t="s">
        <v>9</v>
      </c>
      <c r="C1668" s="8">
        <v>1883</v>
      </c>
      <c r="D1668" s="9">
        <v>45395</v>
      </c>
      <c r="E1668" s="13" t="str">
        <f>+HYPERLINK("http://trademark.i-assist.jp/data/china/image_1883th/76410333.pdf","76410333")</f>
        <v>76410333</v>
      </c>
      <c r="F1668" s="7" t="s">
        <v>4591</v>
      </c>
      <c r="G1668" s="7" t="s">
        <v>4592</v>
      </c>
      <c r="H1668" s="7" t="s">
        <v>4593</v>
      </c>
      <c r="I1668" s="9">
        <v>45307</v>
      </c>
    </row>
    <row r="1669" spans="1:9" x14ac:dyDescent="0.15">
      <c r="A1669" s="6">
        <v>1668</v>
      </c>
      <c r="B1669" s="7" t="s">
        <v>9</v>
      </c>
      <c r="C1669" s="8">
        <v>1883</v>
      </c>
      <c r="D1669" s="9">
        <v>45395</v>
      </c>
      <c r="E1669" s="13" t="str">
        <f>+HYPERLINK("http://trademark.i-assist.jp/data/china/image_1883th/76410350.pdf","76410350")</f>
        <v>76410350</v>
      </c>
      <c r="F1669" s="7" t="s">
        <v>4594</v>
      </c>
      <c r="G1669" s="7" t="s">
        <v>4595</v>
      </c>
      <c r="H1669" s="7" t="s">
        <v>4596</v>
      </c>
      <c r="I1669" s="9">
        <v>45307</v>
      </c>
    </row>
    <row r="1670" spans="1:9" x14ac:dyDescent="0.15">
      <c r="A1670" s="6">
        <v>1669</v>
      </c>
      <c r="B1670" s="7" t="s">
        <v>9</v>
      </c>
      <c r="C1670" s="8">
        <v>1883</v>
      </c>
      <c r="D1670" s="9">
        <v>45395</v>
      </c>
      <c r="E1670" s="13" t="str">
        <f>+HYPERLINK("http://trademark.i-assist.jp/data/china/image_1883th/76410367.pdf","76410367")</f>
        <v>76410367</v>
      </c>
      <c r="F1670" s="7" t="s">
        <v>4597</v>
      </c>
      <c r="G1670" s="7" t="s">
        <v>4598</v>
      </c>
      <c r="H1670" s="7" t="s">
        <v>4599</v>
      </c>
      <c r="I1670" s="9">
        <v>45307</v>
      </c>
    </row>
    <row r="1671" spans="1:9" x14ac:dyDescent="0.15">
      <c r="A1671" s="6">
        <v>1670</v>
      </c>
      <c r="B1671" s="7" t="s">
        <v>9</v>
      </c>
      <c r="C1671" s="8">
        <v>1883</v>
      </c>
      <c r="D1671" s="9">
        <v>45395</v>
      </c>
      <c r="E1671" s="13" t="str">
        <f>+HYPERLINK("http://trademark.i-assist.jp/data/china/image_1883th/76410586.pdf","76410586")</f>
        <v>76410586</v>
      </c>
      <c r="F1671" s="7" t="s">
        <v>4600</v>
      </c>
      <c r="G1671" s="7" t="s">
        <v>4466</v>
      </c>
      <c r="H1671" s="7" t="s">
        <v>4601</v>
      </c>
      <c r="I1671" s="9">
        <v>45307</v>
      </c>
    </row>
    <row r="1672" spans="1:9" ht="27" x14ac:dyDescent="0.15">
      <c r="A1672" s="6">
        <v>1671</v>
      </c>
      <c r="B1672" s="7" t="s">
        <v>9</v>
      </c>
      <c r="C1672" s="8">
        <v>1883</v>
      </c>
      <c r="D1672" s="9">
        <v>45395</v>
      </c>
      <c r="E1672" s="13" t="str">
        <f>+HYPERLINK("http://trademark.i-assist.jp/data/china/image_1883th/76410704.pdf","76410704")</f>
        <v>76410704</v>
      </c>
      <c r="F1672" s="7" t="s">
        <v>4602</v>
      </c>
      <c r="G1672" s="7" t="s">
        <v>4603</v>
      </c>
      <c r="H1672" s="7" t="s">
        <v>4604</v>
      </c>
      <c r="I1672" s="9">
        <v>45307</v>
      </c>
    </row>
    <row r="1673" spans="1:9" ht="27" x14ac:dyDescent="0.15">
      <c r="A1673" s="6">
        <v>1672</v>
      </c>
      <c r="B1673" s="7" t="s">
        <v>9</v>
      </c>
      <c r="C1673" s="8">
        <v>1883</v>
      </c>
      <c r="D1673" s="9">
        <v>45395</v>
      </c>
      <c r="E1673" s="13" t="str">
        <f>+HYPERLINK("http://trademark.i-assist.jp/data/china/image_1883th/76410709.pdf","76410709")</f>
        <v>76410709</v>
      </c>
      <c r="F1673" s="7" t="s">
        <v>4605</v>
      </c>
      <c r="G1673" s="7" t="s">
        <v>4603</v>
      </c>
      <c r="H1673" s="7" t="s">
        <v>4606</v>
      </c>
      <c r="I1673" s="9">
        <v>45307</v>
      </c>
    </row>
    <row r="1674" spans="1:9" ht="27" x14ac:dyDescent="0.15">
      <c r="A1674" s="6">
        <v>1673</v>
      </c>
      <c r="B1674" s="7" t="s">
        <v>9</v>
      </c>
      <c r="C1674" s="8">
        <v>1883</v>
      </c>
      <c r="D1674" s="9">
        <v>45395</v>
      </c>
      <c r="E1674" s="13" t="str">
        <f>+HYPERLINK("http://trademark.i-assist.jp/data/china/image_1883th/76410877.pdf","76410877")</f>
        <v>76410877</v>
      </c>
      <c r="F1674" s="7" t="s">
        <v>4607</v>
      </c>
      <c r="G1674" s="7" t="s">
        <v>4608</v>
      </c>
      <c r="H1674" s="7" t="s">
        <v>4609</v>
      </c>
      <c r="I1674" s="9">
        <v>45307</v>
      </c>
    </row>
    <row r="1675" spans="1:9" x14ac:dyDescent="0.15">
      <c r="A1675" s="6">
        <v>1674</v>
      </c>
      <c r="B1675" s="7" t="s">
        <v>9</v>
      </c>
      <c r="C1675" s="8">
        <v>1883</v>
      </c>
      <c r="D1675" s="9">
        <v>45395</v>
      </c>
      <c r="E1675" s="13" t="str">
        <f>+HYPERLINK("http://trademark.i-assist.jp/data/china/image_1883th/76410939.pdf","76410939")</f>
        <v>76410939</v>
      </c>
      <c r="F1675" s="7" t="s">
        <v>4610</v>
      </c>
      <c r="G1675" s="7" t="s">
        <v>4611</v>
      </c>
      <c r="H1675" s="7" t="s">
        <v>4612</v>
      </c>
      <c r="I1675" s="9">
        <v>45307</v>
      </c>
    </row>
    <row r="1676" spans="1:9" x14ac:dyDescent="0.15">
      <c r="A1676" s="6">
        <v>1675</v>
      </c>
      <c r="B1676" s="7" t="s">
        <v>9</v>
      </c>
      <c r="C1676" s="8">
        <v>1883</v>
      </c>
      <c r="D1676" s="9">
        <v>45395</v>
      </c>
      <c r="E1676" s="13" t="str">
        <f>+HYPERLINK("http://trademark.i-assist.jp/data/china/image_1883th/76410944.pdf","76410944")</f>
        <v>76410944</v>
      </c>
      <c r="F1676" s="7" t="s">
        <v>4613</v>
      </c>
      <c r="G1676" s="7" t="s">
        <v>4611</v>
      </c>
      <c r="H1676" s="7" t="s">
        <v>4614</v>
      </c>
      <c r="I1676" s="9">
        <v>45307</v>
      </c>
    </row>
    <row r="1677" spans="1:9" x14ac:dyDescent="0.15">
      <c r="A1677" s="6">
        <v>1676</v>
      </c>
      <c r="B1677" s="7" t="s">
        <v>9</v>
      </c>
      <c r="C1677" s="8">
        <v>1883</v>
      </c>
      <c r="D1677" s="9">
        <v>45395</v>
      </c>
      <c r="E1677" s="13" t="str">
        <f>+HYPERLINK("http://trademark.i-assist.jp/data/china/image_1883th/76411042.pdf","76411042")</f>
        <v>76411042</v>
      </c>
      <c r="F1677" s="7" t="s">
        <v>4615</v>
      </c>
      <c r="G1677" s="7" t="s">
        <v>4616</v>
      </c>
      <c r="H1677" s="7" t="s">
        <v>4617</v>
      </c>
      <c r="I1677" s="9">
        <v>45307</v>
      </c>
    </row>
    <row r="1678" spans="1:9" x14ac:dyDescent="0.15">
      <c r="A1678" s="6">
        <v>1677</v>
      </c>
      <c r="B1678" s="7" t="s">
        <v>9</v>
      </c>
      <c r="C1678" s="8">
        <v>1883</v>
      </c>
      <c r="D1678" s="9">
        <v>45395</v>
      </c>
      <c r="E1678" s="13" t="str">
        <f>+HYPERLINK("http://trademark.i-assist.jp/data/china/image_1883th/76411045.pdf","76411045")</f>
        <v>76411045</v>
      </c>
      <c r="F1678" s="7" t="s">
        <v>4618</v>
      </c>
      <c r="G1678" s="7" t="s">
        <v>4619</v>
      </c>
      <c r="H1678" s="7" t="s">
        <v>4620</v>
      </c>
      <c r="I1678" s="9">
        <v>45307</v>
      </c>
    </row>
    <row r="1679" spans="1:9" x14ac:dyDescent="0.15">
      <c r="A1679" s="6">
        <v>1678</v>
      </c>
      <c r="B1679" s="7" t="s">
        <v>9</v>
      </c>
      <c r="C1679" s="8">
        <v>1883</v>
      </c>
      <c r="D1679" s="9">
        <v>45395</v>
      </c>
      <c r="E1679" s="13" t="str">
        <f>+HYPERLINK("http://trademark.i-assist.jp/data/china/image_1883th/76411082.pdf","76411082")</f>
        <v>76411082</v>
      </c>
      <c r="F1679" s="7" t="s">
        <v>4621</v>
      </c>
      <c r="G1679" s="7" t="s">
        <v>4622</v>
      </c>
      <c r="H1679" s="7" t="s">
        <v>4623</v>
      </c>
      <c r="I1679" s="9">
        <v>45307</v>
      </c>
    </row>
    <row r="1680" spans="1:9" ht="27" x14ac:dyDescent="0.15">
      <c r="A1680" s="6">
        <v>1679</v>
      </c>
      <c r="B1680" s="7" t="s">
        <v>9</v>
      </c>
      <c r="C1680" s="8">
        <v>1883</v>
      </c>
      <c r="D1680" s="9">
        <v>45395</v>
      </c>
      <c r="E1680" s="13" t="str">
        <f>+HYPERLINK("http://trademark.i-assist.jp/data/china/image_1883th/76411290.pdf","76411290")</f>
        <v>76411290</v>
      </c>
      <c r="F1680" s="7" t="s">
        <v>4624</v>
      </c>
      <c r="G1680" s="7" t="s">
        <v>4625</v>
      </c>
      <c r="H1680" s="7" t="s">
        <v>4626</v>
      </c>
      <c r="I1680" s="9">
        <v>45307</v>
      </c>
    </row>
    <row r="1681" spans="1:9" x14ac:dyDescent="0.15">
      <c r="A1681" s="6">
        <v>1680</v>
      </c>
      <c r="B1681" s="7" t="s">
        <v>9</v>
      </c>
      <c r="C1681" s="8">
        <v>1883</v>
      </c>
      <c r="D1681" s="9">
        <v>45395</v>
      </c>
      <c r="E1681" s="13" t="str">
        <f>+HYPERLINK("http://trademark.i-assist.jp/data/china/image_1883th/76411480.pdf","76411480")</f>
        <v>76411480</v>
      </c>
      <c r="F1681" s="7" t="s">
        <v>4627</v>
      </c>
      <c r="G1681" s="7" t="s">
        <v>4628</v>
      </c>
      <c r="H1681" s="7" t="s">
        <v>4629</v>
      </c>
      <c r="I1681" s="9">
        <v>45307</v>
      </c>
    </row>
    <row r="1682" spans="1:9" x14ac:dyDescent="0.15">
      <c r="A1682" s="6">
        <v>1681</v>
      </c>
      <c r="B1682" s="7" t="s">
        <v>9</v>
      </c>
      <c r="C1682" s="8">
        <v>1883</v>
      </c>
      <c r="D1682" s="9">
        <v>45395</v>
      </c>
      <c r="E1682" s="13" t="str">
        <f>+HYPERLINK("http://trademark.i-assist.jp/data/china/image_1883th/76411640.pdf","76411640")</f>
        <v>76411640</v>
      </c>
      <c r="F1682" s="7" t="s">
        <v>4630</v>
      </c>
      <c r="G1682" s="7" t="s">
        <v>4631</v>
      </c>
      <c r="H1682" s="7" t="s">
        <v>4632</v>
      </c>
      <c r="I1682" s="9">
        <v>45307</v>
      </c>
    </row>
    <row r="1683" spans="1:9" x14ac:dyDescent="0.15">
      <c r="A1683" s="6">
        <v>1682</v>
      </c>
      <c r="B1683" s="7" t="s">
        <v>9</v>
      </c>
      <c r="C1683" s="8">
        <v>1883</v>
      </c>
      <c r="D1683" s="9">
        <v>45395</v>
      </c>
      <c r="E1683" s="13" t="str">
        <f>+HYPERLINK("http://trademark.i-assist.jp/data/china/image_1883th/76411815.pdf","76411815")</f>
        <v>76411815</v>
      </c>
      <c r="F1683" s="7" t="s">
        <v>4633</v>
      </c>
      <c r="G1683" s="7" t="s">
        <v>4634</v>
      </c>
      <c r="H1683" s="7" t="s">
        <v>4635</v>
      </c>
      <c r="I1683" s="9">
        <v>45307</v>
      </c>
    </row>
    <row r="1684" spans="1:9" x14ac:dyDescent="0.15">
      <c r="A1684" s="6">
        <v>1683</v>
      </c>
      <c r="B1684" s="7" t="s">
        <v>9</v>
      </c>
      <c r="C1684" s="8">
        <v>1883</v>
      </c>
      <c r="D1684" s="9">
        <v>45395</v>
      </c>
      <c r="E1684" s="13" t="str">
        <f>+HYPERLINK("http://trademark.i-assist.jp/data/china/image_1883th/76411827.pdf","76411827")</f>
        <v>76411827</v>
      </c>
      <c r="F1684" s="7" t="s">
        <v>4636</v>
      </c>
      <c r="G1684" s="7" t="s">
        <v>4637</v>
      </c>
      <c r="H1684" s="7" t="s">
        <v>4638</v>
      </c>
      <c r="I1684" s="9">
        <v>45307</v>
      </c>
    </row>
    <row r="1685" spans="1:9" x14ac:dyDescent="0.15">
      <c r="A1685" s="6">
        <v>1684</v>
      </c>
      <c r="B1685" s="7" t="s">
        <v>9</v>
      </c>
      <c r="C1685" s="8">
        <v>1883</v>
      </c>
      <c r="D1685" s="9">
        <v>45395</v>
      </c>
      <c r="E1685" s="13" t="str">
        <f>+HYPERLINK("http://trademark.i-assist.jp/data/china/image_1883th/76412018.pdf","76412018")</f>
        <v>76412018</v>
      </c>
      <c r="F1685" s="7" t="s">
        <v>4639</v>
      </c>
      <c r="G1685" s="7" t="s">
        <v>4640</v>
      </c>
      <c r="H1685" s="7" t="s">
        <v>4641</v>
      </c>
      <c r="I1685" s="9">
        <v>45307</v>
      </c>
    </row>
    <row r="1686" spans="1:9" x14ac:dyDescent="0.15">
      <c r="A1686" s="6">
        <v>1685</v>
      </c>
      <c r="B1686" s="7" t="s">
        <v>9</v>
      </c>
      <c r="C1686" s="8">
        <v>1883</v>
      </c>
      <c r="D1686" s="9">
        <v>45395</v>
      </c>
      <c r="E1686" s="13" t="str">
        <f>+HYPERLINK("http://trademark.i-assist.jp/data/china/image_1883th/76412045.pdf","76412045")</f>
        <v>76412045</v>
      </c>
      <c r="F1686" s="7" t="s">
        <v>4642</v>
      </c>
      <c r="G1686" s="7" t="s">
        <v>4643</v>
      </c>
      <c r="H1686" s="7" t="s">
        <v>4644</v>
      </c>
      <c r="I1686" s="9">
        <v>45307</v>
      </c>
    </row>
    <row r="1687" spans="1:9" x14ac:dyDescent="0.15">
      <c r="A1687" s="6">
        <v>1686</v>
      </c>
      <c r="B1687" s="7" t="s">
        <v>9</v>
      </c>
      <c r="C1687" s="8">
        <v>1883</v>
      </c>
      <c r="D1687" s="9">
        <v>45395</v>
      </c>
      <c r="E1687" s="13" t="str">
        <f>+HYPERLINK("http://trademark.i-assist.jp/data/china/image_1883th/76412141.pdf","76412141")</f>
        <v>76412141</v>
      </c>
      <c r="F1687" s="7" t="s">
        <v>4645</v>
      </c>
      <c r="G1687" s="7" t="s">
        <v>4646</v>
      </c>
      <c r="H1687" s="7" t="s">
        <v>4647</v>
      </c>
      <c r="I1687" s="9">
        <v>45307</v>
      </c>
    </row>
    <row r="1688" spans="1:9" x14ac:dyDescent="0.15">
      <c r="A1688" s="6">
        <v>1687</v>
      </c>
      <c r="B1688" s="7" t="s">
        <v>9</v>
      </c>
      <c r="C1688" s="8">
        <v>1883</v>
      </c>
      <c r="D1688" s="9">
        <v>45395</v>
      </c>
      <c r="E1688" s="13" t="str">
        <f>+HYPERLINK("http://trademark.i-assist.jp/data/china/image_1883th/76412392.pdf","76412392")</f>
        <v>76412392</v>
      </c>
      <c r="F1688" s="7" t="s">
        <v>4648</v>
      </c>
      <c r="G1688" s="7" t="s">
        <v>4649</v>
      </c>
      <c r="H1688" s="7" t="s">
        <v>4650</v>
      </c>
      <c r="I1688" s="9">
        <v>45307</v>
      </c>
    </row>
    <row r="1689" spans="1:9" ht="27" x14ac:dyDescent="0.15">
      <c r="A1689" s="6">
        <v>1688</v>
      </c>
      <c r="B1689" s="7" t="s">
        <v>9</v>
      </c>
      <c r="C1689" s="8">
        <v>1883</v>
      </c>
      <c r="D1689" s="9">
        <v>45395</v>
      </c>
      <c r="E1689" s="13" t="str">
        <f>+HYPERLINK("http://trademark.i-assist.jp/data/china/image_1883th/76412467.pdf","76412467")</f>
        <v>76412467</v>
      </c>
      <c r="F1689" s="7" t="s">
        <v>4651</v>
      </c>
      <c r="G1689" s="7" t="s">
        <v>4652</v>
      </c>
      <c r="H1689" s="7" t="s">
        <v>4653</v>
      </c>
      <c r="I1689" s="9">
        <v>45307</v>
      </c>
    </row>
    <row r="1690" spans="1:9" x14ac:dyDescent="0.15">
      <c r="A1690" s="6">
        <v>1689</v>
      </c>
      <c r="B1690" s="7" t="s">
        <v>9</v>
      </c>
      <c r="C1690" s="8">
        <v>1883</v>
      </c>
      <c r="D1690" s="9">
        <v>45395</v>
      </c>
      <c r="E1690" s="13" t="str">
        <f>+HYPERLINK("http://trademark.i-assist.jp/data/china/image_1883th/76412473.pdf","76412473")</f>
        <v>76412473</v>
      </c>
      <c r="F1690" s="7" t="s">
        <v>4654</v>
      </c>
      <c r="G1690" s="7" t="s">
        <v>4655</v>
      </c>
      <c r="H1690" s="7" t="s">
        <v>4656</v>
      </c>
      <c r="I1690" s="9">
        <v>45307</v>
      </c>
    </row>
    <row r="1691" spans="1:9" x14ac:dyDescent="0.15">
      <c r="A1691" s="6">
        <v>1690</v>
      </c>
      <c r="B1691" s="7" t="s">
        <v>9</v>
      </c>
      <c r="C1691" s="8">
        <v>1883</v>
      </c>
      <c r="D1691" s="9">
        <v>45395</v>
      </c>
      <c r="E1691" s="13" t="str">
        <f>+HYPERLINK("http://trademark.i-assist.jp/data/china/image_1883th/76412872.pdf","76412872")</f>
        <v>76412872</v>
      </c>
      <c r="F1691" s="7" t="s">
        <v>4657</v>
      </c>
      <c r="G1691" s="7" t="s">
        <v>4495</v>
      </c>
      <c r="H1691" s="7" t="s">
        <v>4658</v>
      </c>
      <c r="I1691" s="9">
        <v>45307</v>
      </c>
    </row>
    <row r="1692" spans="1:9" x14ac:dyDescent="0.15">
      <c r="A1692" s="6">
        <v>1691</v>
      </c>
      <c r="B1692" s="7" t="s">
        <v>9</v>
      </c>
      <c r="C1692" s="8">
        <v>1883</v>
      </c>
      <c r="D1692" s="9">
        <v>45395</v>
      </c>
      <c r="E1692" s="13" t="str">
        <f>+HYPERLINK("http://trademark.i-assist.jp/data/china/image_1883th/76412898.pdf","76412898")</f>
        <v>76412898</v>
      </c>
      <c r="F1692" s="7" t="s">
        <v>4659</v>
      </c>
      <c r="G1692" s="7" t="s">
        <v>4660</v>
      </c>
      <c r="H1692" s="7" t="s">
        <v>4661</v>
      </c>
      <c r="I1692" s="9">
        <v>45307</v>
      </c>
    </row>
    <row r="1693" spans="1:9" x14ac:dyDescent="0.15">
      <c r="A1693" s="6">
        <v>1692</v>
      </c>
      <c r="B1693" s="7" t="s">
        <v>9</v>
      </c>
      <c r="C1693" s="8">
        <v>1883</v>
      </c>
      <c r="D1693" s="9">
        <v>45395</v>
      </c>
      <c r="E1693" s="13" t="str">
        <f>+HYPERLINK("http://trademark.i-assist.jp/data/china/image_1883th/76412960.pdf","76412960")</f>
        <v>76412960</v>
      </c>
      <c r="F1693" s="7" t="s">
        <v>4662</v>
      </c>
      <c r="G1693" s="7" t="s">
        <v>4663</v>
      </c>
      <c r="H1693" s="7" t="s">
        <v>4664</v>
      </c>
      <c r="I1693" s="9">
        <v>45307</v>
      </c>
    </row>
    <row r="1694" spans="1:9" x14ac:dyDescent="0.15">
      <c r="A1694" s="6">
        <v>1693</v>
      </c>
      <c r="B1694" s="7" t="s">
        <v>9</v>
      </c>
      <c r="C1694" s="8">
        <v>1883</v>
      </c>
      <c r="D1694" s="9">
        <v>45395</v>
      </c>
      <c r="E1694" s="13" t="str">
        <f>+HYPERLINK("http://trademark.i-assist.jp/data/china/image_1883th/76412993.pdf","76412993")</f>
        <v>76412993</v>
      </c>
      <c r="F1694" s="7" t="s">
        <v>4665</v>
      </c>
      <c r="G1694" s="7" t="s">
        <v>4666</v>
      </c>
      <c r="H1694" s="7" t="s">
        <v>4667</v>
      </c>
      <c r="I1694" s="9">
        <v>45307</v>
      </c>
    </row>
    <row r="1695" spans="1:9" x14ac:dyDescent="0.15">
      <c r="A1695" s="6">
        <v>1694</v>
      </c>
      <c r="B1695" s="7" t="s">
        <v>9</v>
      </c>
      <c r="C1695" s="8">
        <v>1883</v>
      </c>
      <c r="D1695" s="9">
        <v>45395</v>
      </c>
      <c r="E1695" s="13" t="str">
        <f>+HYPERLINK("http://trademark.i-assist.jp/data/china/image_1883th/76412996.pdf","76412996")</f>
        <v>76412996</v>
      </c>
      <c r="F1695" s="7" t="s">
        <v>4668</v>
      </c>
      <c r="G1695" s="7" t="s">
        <v>4454</v>
      </c>
      <c r="H1695" s="7" t="s">
        <v>4669</v>
      </c>
      <c r="I1695" s="9">
        <v>45307</v>
      </c>
    </row>
    <row r="1696" spans="1:9" x14ac:dyDescent="0.15">
      <c r="A1696" s="6">
        <v>1695</v>
      </c>
      <c r="B1696" s="7" t="s">
        <v>9</v>
      </c>
      <c r="C1696" s="8">
        <v>1883</v>
      </c>
      <c r="D1696" s="9">
        <v>45395</v>
      </c>
      <c r="E1696" s="13" t="str">
        <f>+HYPERLINK("http://trademark.i-assist.jp/data/china/image_1883th/76413195.pdf","76413195")</f>
        <v>76413195</v>
      </c>
      <c r="F1696" s="7" t="s">
        <v>4670</v>
      </c>
      <c r="G1696" s="7" t="s">
        <v>4671</v>
      </c>
      <c r="H1696" s="7" t="s">
        <v>4672</v>
      </c>
      <c r="I1696" s="9">
        <v>45307</v>
      </c>
    </row>
    <row r="1697" spans="1:9" x14ac:dyDescent="0.15">
      <c r="A1697" s="6">
        <v>1696</v>
      </c>
      <c r="B1697" s="7" t="s">
        <v>9</v>
      </c>
      <c r="C1697" s="8">
        <v>1883</v>
      </c>
      <c r="D1697" s="9">
        <v>45395</v>
      </c>
      <c r="E1697" s="13" t="str">
        <f>+HYPERLINK("http://trademark.i-assist.jp/data/china/image_1883th/76413301.pdf","76413301")</f>
        <v>76413301</v>
      </c>
      <c r="F1697" s="7" t="s">
        <v>4673</v>
      </c>
      <c r="G1697" s="7" t="s">
        <v>2047</v>
      </c>
      <c r="H1697" s="7" t="s">
        <v>4674</v>
      </c>
      <c r="I1697" s="9">
        <v>45307</v>
      </c>
    </row>
    <row r="1698" spans="1:9" x14ac:dyDescent="0.15">
      <c r="A1698" s="6">
        <v>1697</v>
      </c>
      <c r="B1698" s="7" t="s">
        <v>9</v>
      </c>
      <c r="C1698" s="8">
        <v>1883</v>
      </c>
      <c r="D1698" s="9">
        <v>45395</v>
      </c>
      <c r="E1698" s="13" t="str">
        <f>+HYPERLINK("http://trademark.i-assist.jp/data/china/image_1883th/76413364.pdf","76413364")</f>
        <v>76413364</v>
      </c>
      <c r="F1698" s="7" t="s">
        <v>4675</v>
      </c>
      <c r="G1698" s="7" t="s">
        <v>4676</v>
      </c>
      <c r="H1698" s="7" t="s">
        <v>4677</v>
      </c>
      <c r="I1698" s="9">
        <v>45307</v>
      </c>
    </row>
    <row r="1699" spans="1:9" x14ac:dyDescent="0.15">
      <c r="A1699" s="6">
        <v>1698</v>
      </c>
      <c r="B1699" s="7" t="s">
        <v>9</v>
      </c>
      <c r="C1699" s="8">
        <v>1883</v>
      </c>
      <c r="D1699" s="9">
        <v>45395</v>
      </c>
      <c r="E1699" s="13" t="str">
        <f>+HYPERLINK("http://trademark.i-assist.jp/data/china/image_1883th/76413611.pdf","76413611")</f>
        <v>76413611</v>
      </c>
      <c r="F1699" s="7" t="s">
        <v>4678</v>
      </c>
      <c r="G1699" s="7" t="s">
        <v>2047</v>
      </c>
      <c r="H1699" s="7" t="s">
        <v>4679</v>
      </c>
      <c r="I1699" s="9">
        <v>45307</v>
      </c>
    </row>
    <row r="1700" spans="1:9" x14ac:dyDescent="0.15">
      <c r="A1700" s="6">
        <v>1699</v>
      </c>
      <c r="B1700" s="7" t="s">
        <v>9</v>
      </c>
      <c r="C1700" s="8">
        <v>1883</v>
      </c>
      <c r="D1700" s="9">
        <v>45395</v>
      </c>
      <c r="E1700" s="13" t="str">
        <f>+HYPERLINK("http://trademark.i-assist.jp/data/china/image_1883th/76413943.pdf","76413943")</f>
        <v>76413943</v>
      </c>
      <c r="F1700" s="7" t="s">
        <v>4680</v>
      </c>
      <c r="G1700" s="7" t="s">
        <v>4681</v>
      </c>
      <c r="H1700" s="7" t="s">
        <v>4682</v>
      </c>
      <c r="I1700" s="9">
        <v>45307</v>
      </c>
    </row>
    <row r="1701" spans="1:9" x14ac:dyDescent="0.15">
      <c r="A1701" s="6">
        <v>1700</v>
      </c>
      <c r="B1701" s="7" t="s">
        <v>9</v>
      </c>
      <c r="C1701" s="8">
        <v>1883</v>
      </c>
      <c r="D1701" s="9">
        <v>45395</v>
      </c>
      <c r="E1701" s="13" t="str">
        <f>+HYPERLINK("http://trademark.i-assist.jp/data/china/image_1883th/76414087.pdf","76414087")</f>
        <v>76414087</v>
      </c>
      <c r="F1701" s="7" t="s">
        <v>4683</v>
      </c>
      <c r="G1701" s="7" t="s">
        <v>4684</v>
      </c>
      <c r="H1701" s="7" t="s">
        <v>4685</v>
      </c>
      <c r="I1701" s="9">
        <v>45307</v>
      </c>
    </row>
    <row r="1702" spans="1:9" x14ac:dyDescent="0.15">
      <c r="A1702" s="6">
        <v>1701</v>
      </c>
      <c r="B1702" s="7" t="s">
        <v>9</v>
      </c>
      <c r="C1702" s="8">
        <v>1883</v>
      </c>
      <c r="D1702" s="9">
        <v>45395</v>
      </c>
      <c r="E1702" s="13" t="str">
        <f>+HYPERLINK("http://trademark.i-assist.jp/data/china/image_1883th/76414193.pdf","76414193")</f>
        <v>76414193</v>
      </c>
      <c r="F1702" s="7" t="s">
        <v>4686</v>
      </c>
      <c r="G1702" s="7" t="s">
        <v>4687</v>
      </c>
      <c r="H1702" s="7" t="s">
        <v>4688</v>
      </c>
      <c r="I1702" s="9">
        <v>45307</v>
      </c>
    </row>
    <row r="1703" spans="1:9" x14ac:dyDescent="0.15">
      <c r="A1703" s="6">
        <v>1702</v>
      </c>
      <c r="B1703" s="7" t="s">
        <v>9</v>
      </c>
      <c r="C1703" s="8">
        <v>1883</v>
      </c>
      <c r="D1703" s="9">
        <v>45395</v>
      </c>
      <c r="E1703" s="13" t="str">
        <f>+HYPERLINK("http://trademark.i-assist.jp/data/china/image_1883th/76414348.pdf","76414348")</f>
        <v>76414348</v>
      </c>
      <c r="F1703" s="7" t="s">
        <v>4689</v>
      </c>
      <c r="G1703" s="7" t="s">
        <v>4690</v>
      </c>
      <c r="H1703" s="7" t="s">
        <v>4691</v>
      </c>
      <c r="I1703" s="9">
        <v>45307</v>
      </c>
    </row>
    <row r="1704" spans="1:9" x14ac:dyDescent="0.15">
      <c r="A1704" s="6">
        <v>1703</v>
      </c>
      <c r="B1704" s="7" t="s">
        <v>9</v>
      </c>
      <c r="C1704" s="8">
        <v>1883</v>
      </c>
      <c r="D1704" s="9">
        <v>45395</v>
      </c>
      <c r="E1704" s="13" t="str">
        <f>+HYPERLINK("http://trademark.i-assist.jp/data/china/image_1883th/76414399.pdf","76414399")</f>
        <v>76414399</v>
      </c>
      <c r="F1704" s="7" t="s">
        <v>4692</v>
      </c>
      <c r="G1704" s="7" t="s">
        <v>4676</v>
      </c>
      <c r="H1704" s="7" t="s">
        <v>4693</v>
      </c>
      <c r="I1704" s="9">
        <v>45307</v>
      </c>
    </row>
    <row r="1705" spans="1:9" x14ac:dyDescent="0.15">
      <c r="A1705" s="6">
        <v>1704</v>
      </c>
      <c r="B1705" s="7" t="s">
        <v>9</v>
      </c>
      <c r="C1705" s="8">
        <v>1883</v>
      </c>
      <c r="D1705" s="9">
        <v>45395</v>
      </c>
      <c r="E1705" s="13" t="str">
        <f>+HYPERLINK("http://trademark.i-assist.jp/data/china/image_1883th/76414446.pdf","76414446")</f>
        <v>76414446</v>
      </c>
      <c r="F1705" s="7" t="s">
        <v>4694</v>
      </c>
      <c r="G1705" s="7" t="s">
        <v>4695</v>
      </c>
      <c r="H1705" s="7" t="s">
        <v>4696</v>
      </c>
      <c r="I1705" s="9">
        <v>45307</v>
      </c>
    </row>
    <row r="1706" spans="1:9" x14ac:dyDescent="0.15">
      <c r="A1706" s="6">
        <v>1705</v>
      </c>
      <c r="B1706" s="7" t="s">
        <v>9</v>
      </c>
      <c r="C1706" s="8">
        <v>1883</v>
      </c>
      <c r="D1706" s="9">
        <v>45395</v>
      </c>
      <c r="E1706" s="13" t="str">
        <f>+HYPERLINK("http://trademark.i-assist.jp/data/china/image_1883th/76414489.pdf","76414489")</f>
        <v>76414489</v>
      </c>
      <c r="F1706" s="7" t="s">
        <v>4697</v>
      </c>
      <c r="G1706" s="7" t="s">
        <v>4698</v>
      </c>
      <c r="H1706" s="7" t="s">
        <v>4699</v>
      </c>
      <c r="I1706" s="9">
        <v>45307</v>
      </c>
    </row>
    <row r="1707" spans="1:9" x14ac:dyDescent="0.15">
      <c r="A1707" s="6">
        <v>1706</v>
      </c>
      <c r="B1707" s="7" t="s">
        <v>9</v>
      </c>
      <c r="C1707" s="8">
        <v>1883</v>
      </c>
      <c r="D1707" s="9">
        <v>45395</v>
      </c>
      <c r="E1707" s="13" t="str">
        <f>+HYPERLINK("http://trademark.i-assist.jp/data/china/image_1883th/76414600.pdf","76414600")</f>
        <v>76414600</v>
      </c>
      <c r="F1707" s="7" t="s">
        <v>4700</v>
      </c>
      <c r="G1707" s="7" t="s">
        <v>4701</v>
      </c>
      <c r="H1707" s="7" t="s">
        <v>4702</v>
      </c>
      <c r="I1707" s="9">
        <v>45307</v>
      </c>
    </row>
    <row r="1708" spans="1:9" ht="27" x14ac:dyDescent="0.15">
      <c r="A1708" s="6">
        <v>1707</v>
      </c>
      <c r="B1708" s="7" t="s">
        <v>9</v>
      </c>
      <c r="C1708" s="8">
        <v>1883</v>
      </c>
      <c r="D1708" s="9">
        <v>45395</v>
      </c>
      <c r="E1708" s="13" t="str">
        <f>+HYPERLINK("http://trademark.i-assist.jp/data/china/image_1883th/76414612.pdf","76414612")</f>
        <v>76414612</v>
      </c>
      <c r="F1708" s="7" t="s">
        <v>4703</v>
      </c>
      <c r="G1708" s="7" t="s">
        <v>4704</v>
      </c>
      <c r="H1708" s="7" t="s">
        <v>4705</v>
      </c>
      <c r="I1708" s="9">
        <v>45307</v>
      </c>
    </row>
    <row r="1709" spans="1:9" x14ac:dyDescent="0.15">
      <c r="A1709" s="6">
        <v>1708</v>
      </c>
      <c r="B1709" s="7" t="s">
        <v>9</v>
      </c>
      <c r="C1709" s="8">
        <v>1883</v>
      </c>
      <c r="D1709" s="9">
        <v>45395</v>
      </c>
      <c r="E1709" s="13" t="str">
        <f>+HYPERLINK("http://trademark.i-assist.jp/data/china/image_1883th/76414631.pdf","76414631")</f>
        <v>76414631</v>
      </c>
      <c r="F1709" s="7" t="s">
        <v>4706</v>
      </c>
      <c r="G1709" s="7" t="s">
        <v>4707</v>
      </c>
      <c r="H1709" s="7" t="s">
        <v>4708</v>
      </c>
      <c r="I1709" s="9">
        <v>45307</v>
      </c>
    </row>
    <row r="1710" spans="1:9" x14ac:dyDescent="0.15">
      <c r="A1710" s="6">
        <v>1709</v>
      </c>
      <c r="B1710" s="7" t="s">
        <v>9</v>
      </c>
      <c r="C1710" s="8">
        <v>1883</v>
      </c>
      <c r="D1710" s="9">
        <v>45395</v>
      </c>
      <c r="E1710" s="13" t="str">
        <f>+HYPERLINK("http://trademark.i-assist.jp/data/china/image_1883th/76414679.pdf","76414679")</f>
        <v>76414679</v>
      </c>
      <c r="F1710" s="7" t="s">
        <v>4709</v>
      </c>
      <c r="G1710" s="7" t="s">
        <v>4710</v>
      </c>
      <c r="H1710" s="7" t="s">
        <v>4711</v>
      </c>
      <c r="I1710" s="9">
        <v>45307</v>
      </c>
    </row>
    <row r="1711" spans="1:9" x14ac:dyDescent="0.15">
      <c r="A1711" s="6">
        <v>1710</v>
      </c>
      <c r="B1711" s="7" t="s">
        <v>9</v>
      </c>
      <c r="C1711" s="8">
        <v>1883</v>
      </c>
      <c r="D1711" s="9">
        <v>45395</v>
      </c>
      <c r="E1711" s="13" t="str">
        <f>+HYPERLINK("http://trademark.i-assist.jp/data/china/image_1883th/76414750.pdf","76414750")</f>
        <v>76414750</v>
      </c>
      <c r="F1711" s="7" t="s">
        <v>4712</v>
      </c>
      <c r="G1711" s="7" t="s">
        <v>4713</v>
      </c>
      <c r="H1711" s="7" t="s">
        <v>4714</v>
      </c>
      <c r="I1711" s="9">
        <v>45307</v>
      </c>
    </row>
    <row r="1712" spans="1:9" x14ac:dyDescent="0.15">
      <c r="A1712" s="6">
        <v>1711</v>
      </c>
      <c r="B1712" s="7" t="s">
        <v>9</v>
      </c>
      <c r="C1712" s="8">
        <v>1883</v>
      </c>
      <c r="D1712" s="9">
        <v>45395</v>
      </c>
      <c r="E1712" s="13" t="str">
        <f>+HYPERLINK("http://trademark.i-assist.jp/data/china/image_1883th/76414878.pdf","76414878")</f>
        <v>76414878</v>
      </c>
      <c r="F1712" s="7" t="s">
        <v>4715</v>
      </c>
      <c r="G1712" s="7" t="s">
        <v>4716</v>
      </c>
      <c r="H1712" s="7" t="s">
        <v>4717</v>
      </c>
      <c r="I1712" s="9">
        <v>45307</v>
      </c>
    </row>
    <row r="1713" spans="1:9" x14ac:dyDescent="0.15">
      <c r="A1713" s="6">
        <v>1712</v>
      </c>
      <c r="B1713" s="7" t="s">
        <v>9</v>
      </c>
      <c r="C1713" s="8">
        <v>1883</v>
      </c>
      <c r="D1713" s="9">
        <v>45395</v>
      </c>
      <c r="E1713" s="13" t="str">
        <f>+HYPERLINK("http://trademark.i-assist.jp/data/china/image_1883th/76414956.pdf","76414956")</f>
        <v>76414956</v>
      </c>
      <c r="F1713" s="7" t="s">
        <v>4718</v>
      </c>
      <c r="G1713" s="7" t="s">
        <v>4719</v>
      </c>
      <c r="H1713" s="7" t="s">
        <v>4720</v>
      </c>
      <c r="I1713" s="9">
        <v>45307</v>
      </c>
    </row>
    <row r="1714" spans="1:9" x14ac:dyDescent="0.15">
      <c r="A1714" s="6">
        <v>1713</v>
      </c>
      <c r="B1714" s="7" t="s">
        <v>9</v>
      </c>
      <c r="C1714" s="8">
        <v>1883</v>
      </c>
      <c r="D1714" s="9">
        <v>45395</v>
      </c>
      <c r="E1714" s="13" t="str">
        <f>+HYPERLINK("http://trademark.i-assist.jp/data/china/image_1883th/76415012.pdf","76415012")</f>
        <v>76415012</v>
      </c>
      <c r="F1714" s="7" t="s">
        <v>4721</v>
      </c>
      <c r="G1714" s="7" t="s">
        <v>4722</v>
      </c>
      <c r="H1714" s="7" t="s">
        <v>4723</v>
      </c>
      <c r="I1714" s="9">
        <v>45307</v>
      </c>
    </row>
    <row r="1715" spans="1:9" x14ac:dyDescent="0.15">
      <c r="A1715" s="6">
        <v>1714</v>
      </c>
      <c r="B1715" s="7" t="s">
        <v>9</v>
      </c>
      <c r="C1715" s="8">
        <v>1883</v>
      </c>
      <c r="D1715" s="9">
        <v>45395</v>
      </c>
      <c r="E1715" s="13" t="str">
        <f>+HYPERLINK("http://trademark.i-assist.jp/data/china/image_1883th/76415102.pdf","76415102")</f>
        <v>76415102</v>
      </c>
      <c r="F1715" s="7" t="s">
        <v>4724</v>
      </c>
      <c r="G1715" s="7" t="s">
        <v>4725</v>
      </c>
      <c r="H1715" s="7" t="s">
        <v>4726</v>
      </c>
      <c r="I1715" s="9">
        <v>45307</v>
      </c>
    </row>
    <row r="1716" spans="1:9" ht="27" x14ac:dyDescent="0.15">
      <c r="A1716" s="6">
        <v>1715</v>
      </c>
      <c r="B1716" s="7" t="s">
        <v>9</v>
      </c>
      <c r="C1716" s="8">
        <v>1883</v>
      </c>
      <c r="D1716" s="9">
        <v>45395</v>
      </c>
      <c r="E1716" s="13" t="str">
        <f>+HYPERLINK("http://trademark.i-assist.jp/data/china/image_1883th/76415137.pdf","76415137")</f>
        <v>76415137</v>
      </c>
      <c r="F1716" s="7" t="s">
        <v>4727</v>
      </c>
      <c r="G1716" s="7" t="s">
        <v>4728</v>
      </c>
      <c r="H1716" s="7" t="s">
        <v>4729</v>
      </c>
      <c r="I1716" s="9">
        <v>45307</v>
      </c>
    </row>
    <row r="1717" spans="1:9" x14ac:dyDescent="0.15">
      <c r="A1717" s="6">
        <v>1716</v>
      </c>
      <c r="B1717" s="7" t="s">
        <v>9</v>
      </c>
      <c r="C1717" s="8">
        <v>1883</v>
      </c>
      <c r="D1717" s="9">
        <v>45395</v>
      </c>
      <c r="E1717" s="13" t="str">
        <f>+HYPERLINK("http://trademark.i-assist.jp/data/china/image_1883th/76415221.pdf","76415221")</f>
        <v>76415221</v>
      </c>
      <c r="F1717" s="7" t="s">
        <v>4730</v>
      </c>
      <c r="G1717" s="7" t="s">
        <v>4731</v>
      </c>
      <c r="H1717" s="7" t="s">
        <v>4732</v>
      </c>
      <c r="I1717" s="9">
        <v>45307</v>
      </c>
    </row>
    <row r="1718" spans="1:9" x14ac:dyDescent="0.15">
      <c r="A1718" s="6">
        <v>1717</v>
      </c>
      <c r="B1718" s="7" t="s">
        <v>9</v>
      </c>
      <c r="C1718" s="8">
        <v>1883</v>
      </c>
      <c r="D1718" s="9">
        <v>45395</v>
      </c>
      <c r="E1718" s="13" t="str">
        <f>+HYPERLINK("http://trademark.i-assist.jp/data/china/image_1883th/76415530.pdf","76415530")</f>
        <v>76415530</v>
      </c>
      <c r="F1718" s="7" t="s">
        <v>4733</v>
      </c>
      <c r="G1718" s="7" t="s">
        <v>4734</v>
      </c>
      <c r="H1718" s="7" t="s">
        <v>4735</v>
      </c>
      <c r="I1718" s="9">
        <v>45307</v>
      </c>
    </row>
    <row r="1719" spans="1:9" x14ac:dyDescent="0.15">
      <c r="A1719" s="6">
        <v>1718</v>
      </c>
      <c r="B1719" s="7" t="s">
        <v>9</v>
      </c>
      <c r="C1719" s="8">
        <v>1883</v>
      </c>
      <c r="D1719" s="9">
        <v>45395</v>
      </c>
      <c r="E1719" s="13" t="str">
        <f>+HYPERLINK("http://trademark.i-assist.jp/data/china/image_1883th/76415664.pdf","76415664")</f>
        <v>76415664</v>
      </c>
      <c r="F1719" s="7" t="s">
        <v>4736</v>
      </c>
      <c r="G1719" s="7" t="s">
        <v>4737</v>
      </c>
      <c r="H1719" s="7" t="s">
        <v>4738</v>
      </c>
      <c r="I1719" s="9">
        <v>45307</v>
      </c>
    </row>
    <row r="1720" spans="1:9" x14ac:dyDescent="0.15">
      <c r="A1720" s="6">
        <v>1719</v>
      </c>
      <c r="B1720" s="7" t="s">
        <v>9</v>
      </c>
      <c r="C1720" s="8">
        <v>1883</v>
      </c>
      <c r="D1720" s="9">
        <v>45395</v>
      </c>
      <c r="E1720" s="13" t="str">
        <f>+HYPERLINK("http://trademark.i-assist.jp/data/china/image_1883th/76415755.pdf","76415755")</f>
        <v>76415755</v>
      </c>
      <c r="F1720" s="7" t="s">
        <v>4739</v>
      </c>
      <c r="G1720" s="7" t="s">
        <v>4740</v>
      </c>
      <c r="H1720" s="7" t="s">
        <v>4741</v>
      </c>
      <c r="I1720" s="9">
        <v>45307</v>
      </c>
    </row>
    <row r="1721" spans="1:9" x14ac:dyDescent="0.15">
      <c r="A1721" s="6">
        <v>1720</v>
      </c>
      <c r="B1721" s="7" t="s">
        <v>9</v>
      </c>
      <c r="C1721" s="8">
        <v>1883</v>
      </c>
      <c r="D1721" s="9">
        <v>45395</v>
      </c>
      <c r="E1721" s="13" t="str">
        <f>+HYPERLINK("http://trademark.i-assist.jp/data/china/image_1883th/76415757.pdf","76415757")</f>
        <v>76415757</v>
      </c>
      <c r="F1721" s="7" t="s">
        <v>4742</v>
      </c>
      <c r="G1721" s="7" t="s">
        <v>4743</v>
      </c>
      <c r="H1721" s="7" t="s">
        <v>4744</v>
      </c>
      <c r="I1721" s="9">
        <v>45307</v>
      </c>
    </row>
    <row r="1722" spans="1:9" ht="27" x14ac:dyDescent="0.15">
      <c r="A1722" s="6">
        <v>1721</v>
      </c>
      <c r="B1722" s="7" t="s">
        <v>9</v>
      </c>
      <c r="C1722" s="8">
        <v>1883</v>
      </c>
      <c r="D1722" s="9">
        <v>45395</v>
      </c>
      <c r="E1722" s="13" t="str">
        <f>+HYPERLINK("http://trademark.i-assist.jp/data/china/image_1883th/76415862.pdf","76415862")</f>
        <v>76415862</v>
      </c>
      <c r="F1722" s="7" t="s">
        <v>4745</v>
      </c>
      <c r="G1722" s="7" t="s">
        <v>4746</v>
      </c>
      <c r="H1722" s="7" t="s">
        <v>4747</v>
      </c>
      <c r="I1722" s="9">
        <v>45307</v>
      </c>
    </row>
    <row r="1723" spans="1:9" x14ac:dyDescent="0.15">
      <c r="A1723" s="6">
        <v>1722</v>
      </c>
      <c r="B1723" s="7" t="s">
        <v>9</v>
      </c>
      <c r="C1723" s="8">
        <v>1883</v>
      </c>
      <c r="D1723" s="9">
        <v>45395</v>
      </c>
      <c r="E1723" s="13" t="str">
        <f>+HYPERLINK("http://trademark.i-assist.jp/data/china/image_1883th/76416104.pdf","76416104")</f>
        <v>76416104</v>
      </c>
      <c r="F1723" s="7" t="s">
        <v>4748</v>
      </c>
      <c r="G1723" s="7" t="s">
        <v>4749</v>
      </c>
      <c r="H1723" s="7" t="s">
        <v>4750</v>
      </c>
      <c r="I1723" s="9">
        <v>45307</v>
      </c>
    </row>
    <row r="1724" spans="1:9" x14ac:dyDescent="0.15">
      <c r="A1724" s="6">
        <v>1723</v>
      </c>
      <c r="B1724" s="7" t="s">
        <v>9</v>
      </c>
      <c r="C1724" s="8">
        <v>1883</v>
      </c>
      <c r="D1724" s="9">
        <v>45395</v>
      </c>
      <c r="E1724" s="13" t="str">
        <f>+HYPERLINK("http://trademark.i-assist.jp/data/china/image_1883th/76416186.pdf","76416186")</f>
        <v>76416186</v>
      </c>
      <c r="F1724" s="7" t="s">
        <v>4751</v>
      </c>
      <c r="G1724" s="7" t="s">
        <v>4752</v>
      </c>
      <c r="H1724" s="7" t="s">
        <v>4753</v>
      </c>
      <c r="I1724" s="9">
        <v>45307</v>
      </c>
    </row>
    <row r="1725" spans="1:9" x14ac:dyDescent="0.15">
      <c r="A1725" s="6">
        <v>1724</v>
      </c>
      <c r="B1725" s="7" t="s">
        <v>9</v>
      </c>
      <c r="C1725" s="8">
        <v>1883</v>
      </c>
      <c r="D1725" s="9">
        <v>45395</v>
      </c>
      <c r="E1725" s="13" t="str">
        <f>+HYPERLINK("http://trademark.i-assist.jp/data/china/image_1883th/76416301.pdf","76416301")</f>
        <v>76416301</v>
      </c>
      <c r="F1725" s="7" t="s">
        <v>4754</v>
      </c>
      <c r="G1725" s="7" t="s">
        <v>4755</v>
      </c>
      <c r="H1725" s="7" t="s">
        <v>4756</v>
      </c>
      <c r="I1725" s="9">
        <v>45307</v>
      </c>
    </row>
    <row r="1726" spans="1:9" ht="27" x14ac:dyDescent="0.15">
      <c r="A1726" s="6">
        <v>1725</v>
      </c>
      <c r="B1726" s="7" t="s">
        <v>9</v>
      </c>
      <c r="C1726" s="8">
        <v>1883</v>
      </c>
      <c r="D1726" s="9">
        <v>45395</v>
      </c>
      <c r="E1726" s="13" t="str">
        <f>+HYPERLINK("http://trademark.i-assist.jp/data/china/image_1883th/76416402.pdf","76416402")</f>
        <v>76416402</v>
      </c>
      <c r="F1726" s="7" t="s">
        <v>4757</v>
      </c>
      <c r="G1726" s="7" t="s">
        <v>4758</v>
      </c>
      <c r="H1726" s="7" t="s">
        <v>4759</v>
      </c>
      <c r="I1726" s="9">
        <v>45307</v>
      </c>
    </row>
    <row r="1727" spans="1:9" x14ac:dyDescent="0.15">
      <c r="A1727" s="6">
        <v>1726</v>
      </c>
      <c r="B1727" s="7" t="s">
        <v>9</v>
      </c>
      <c r="C1727" s="8">
        <v>1883</v>
      </c>
      <c r="D1727" s="9">
        <v>45395</v>
      </c>
      <c r="E1727" s="13" t="str">
        <f>+HYPERLINK("http://trademark.i-assist.jp/data/china/image_1883th/76416474.pdf","76416474")</f>
        <v>76416474</v>
      </c>
      <c r="F1727" s="7" t="s">
        <v>4760</v>
      </c>
      <c r="G1727" s="7" t="s">
        <v>2047</v>
      </c>
      <c r="H1727" s="7" t="s">
        <v>4761</v>
      </c>
      <c r="I1727" s="9">
        <v>45307</v>
      </c>
    </row>
    <row r="1728" spans="1:9" x14ac:dyDescent="0.15">
      <c r="A1728" s="6">
        <v>1727</v>
      </c>
      <c r="B1728" s="7" t="s">
        <v>9</v>
      </c>
      <c r="C1728" s="8">
        <v>1883</v>
      </c>
      <c r="D1728" s="9">
        <v>45395</v>
      </c>
      <c r="E1728" s="13" t="str">
        <f>+HYPERLINK("http://trademark.i-assist.jp/data/china/image_1883th/76416477.pdf","76416477")</f>
        <v>76416477</v>
      </c>
      <c r="F1728" s="7" t="s">
        <v>4762</v>
      </c>
      <c r="G1728" s="7" t="s">
        <v>4763</v>
      </c>
      <c r="H1728" s="7" t="s">
        <v>4764</v>
      </c>
      <c r="I1728" s="9">
        <v>45307</v>
      </c>
    </row>
    <row r="1729" spans="1:9" x14ac:dyDescent="0.15">
      <c r="A1729" s="6">
        <v>1728</v>
      </c>
      <c r="B1729" s="7" t="s">
        <v>9</v>
      </c>
      <c r="C1729" s="8">
        <v>1883</v>
      </c>
      <c r="D1729" s="9">
        <v>45395</v>
      </c>
      <c r="E1729" s="13" t="str">
        <f>+HYPERLINK("http://trademark.i-assist.jp/data/china/image_1883th/76416563.pdf","76416563")</f>
        <v>76416563</v>
      </c>
      <c r="F1729" s="7" t="s">
        <v>4765</v>
      </c>
      <c r="G1729" s="7" t="s">
        <v>4766</v>
      </c>
      <c r="H1729" s="7" t="s">
        <v>4767</v>
      </c>
      <c r="I1729" s="9">
        <v>45307</v>
      </c>
    </row>
    <row r="1730" spans="1:9" x14ac:dyDescent="0.15">
      <c r="A1730" s="6">
        <v>1729</v>
      </c>
      <c r="B1730" s="7" t="s">
        <v>9</v>
      </c>
      <c r="C1730" s="8">
        <v>1883</v>
      </c>
      <c r="D1730" s="9">
        <v>45395</v>
      </c>
      <c r="E1730" s="13" t="str">
        <f>+HYPERLINK("http://trademark.i-assist.jp/data/china/image_1883th/76416760.pdf","76416760")</f>
        <v>76416760</v>
      </c>
      <c r="F1730" s="7" t="s">
        <v>4768</v>
      </c>
      <c r="G1730" s="7" t="s">
        <v>4769</v>
      </c>
      <c r="H1730" s="7" t="s">
        <v>4770</v>
      </c>
      <c r="I1730" s="9">
        <v>45307</v>
      </c>
    </row>
    <row r="1731" spans="1:9" x14ac:dyDescent="0.15">
      <c r="A1731" s="6">
        <v>1730</v>
      </c>
      <c r="B1731" s="7" t="s">
        <v>9</v>
      </c>
      <c r="C1731" s="8">
        <v>1883</v>
      </c>
      <c r="D1731" s="9">
        <v>45395</v>
      </c>
      <c r="E1731" s="13" t="str">
        <f>+HYPERLINK("http://trademark.i-assist.jp/data/china/image_1883th/76416827.pdf","76416827")</f>
        <v>76416827</v>
      </c>
      <c r="F1731" s="7" t="s">
        <v>4771</v>
      </c>
      <c r="G1731" s="7" t="s">
        <v>4772</v>
      </c>
      <c r="H1731" s="7" t="s">
        <v>4773</v>
      </c>
      <c r="I1731" s="9">
        <v>45307</v>
      </c>
    </row>
    <row r="1732" spans="1:9" x14ac:dyDescent="0.15">
      <c r="A1732" s="6">
        <v>1731</v>
      </c>
      <c r="B1732" s="7" t="s">
        <v>9</v>
      </c>
      <c r="C1732" s="8">
        <v>1883</v>
      </c>
      <c r="D1732" s="9">
        <v>45395</v>
      </c>
      <c r="E1732" s="13" t="str">
        <f>+HYPERLINK("http://trademark.i-assist.jp/data/china/image_1883th/76416869.pdf","76416869")</f>
        <v>76416869</v>
      </c>
      <c r="F1732" s="7" t="s">
        <v>4774</v>
      </c>
      <c r="G1732" s="7" t="s">
        <v>4775</v>
      </c>
      <c r="H1732" s="7" t="s">
        <v>4776</v>
      </c>
      <c r="I1732" s="9">
        <v>45307</v>
      </c>
    </row>
    <row r="1733" spans="1:9" x14ac:dyDescent="0.15">
      <c r="A1733" s="6">
        <v>1732</v>
      </c>
      <c r="B1733" s="7" t="s">
        <v>9</v>
      </c>
      <c r="C1733" s="8">
        <v>1883</v>
      </c>
      <c r="D1733" s="9">
        <v>45395</v>
      </c>
      <c r="E1733" s="13" t="str">
        <f>+HYPERLINK("http://trademark.i-assist.jp/data/china/image_1883th/76416875.pdf","76416875")</f>
        <v>76416875</v>
      </c>
      <c r="F1733" s="7" t="s">
        <v>4777</v>
      </c>
      <c r="G1733" s="7" t="s">
        <v>4778</v>
      </c>
      <c r="H1733" s="7" t="s">
        <v>4779</v>
      </c>
      <c r="I1733" s="9">
        <v>45307</v>
      </c>
    </row>
    <row r="1734" spans="1:9" x14ac:dyDescent="0.15">
      <c r="A1734" s="6">
        <v>1733</v>
      </c>
      <c r="B1734" s="7" t="s">
        <v>9</v>
      </c>
      <c r="C1734" s="8">
        <v>1883</v>
      </c>
      <c r="D1734" s="9">
        <v>45395</v>
      </c>
      <c r="E1734" s="13" t="str">
        <f>+HYPERLINK("http://trademark.i-assist.jp/data/china/image_1883th/76416879.pdf","76416879")</f>
        <v>76416879</v>
      </c>
      <c r="F1734" s="7" t="s">
        <v>4780</v>
      </c>
      <c r="G1734" s="7" t="s">
        <v>2047</v>
      </c>
      <c r="H1734" s="7" t="s">
        <v>4781</v>
      </c>
      <c r="I1734" s="9">
        <v>45307</v>
      </c>
    </row>
    <row r="1735" spans="1:9" ht="27" x14ac:dyDescent="0.15">
      <c r="A1735" s="6">
        <v>1734</v>
      </c>
      <c r="B1735" s="7" t="s">
        <v>9</v>
      </c>
      <c r="C1735" s="8">
        <v>1883</v>
      </c>
      <c r="D1735" s="9">
        <v>45395</v>
      </c>
      <c r="E1735" s="13" t="str">
        <f>+HYPERLINK("http://trademark.i-assist.jp/data/china/image_1883th/76416903.pdf","76416903")</f>
        <v>76416903</v>
      </c>
      <c r="F1735" s="7" t="s">
        <v>4782</v>
      </c>
      <c r="G1735" s="7" t="s">
        <v>4783</v>
      </c>
      <c r="H1735" s="7" t="s">
        <v>4784</v>
      </c>
      <c r="I1735" s="9">
        <v>45307</v>
      </c>
    </row>
    <row r="1736" spans="1:9" x14ac:dyDescent="0.15">
      <c r="A1736" s="6">
        <v>1735</v>
      </c>
      <c r="B1736" s="7" t="s">
        <v>9</v>
      </c>
      <c r="C1736" s="8">
        <v>1883</v>
      </c>
      <c r="D1736" s="9">
        <v>45395</v>
      </c>
      <c r="E1736" s="13" t="str">
        <f>+HYPERLINK("http://trademark.i-assist.jp/data/china/image_1883th/76416909.pdf","76416909")</f>
        <v>76416909</v>
      </c>
      <c r="F1736" s="7" t="s">
        <v>4785</v>
      </c>
      <c r="G1736" s="7" t="s">
        <v>4786</v>
      </c>
      <c r="H1736" s="7" t="s">
        <v>4787</v>
      </c>
      <c r="I1736" s="9">
        <v>45307</v>
      </c>
    </row>
    <row r="1737" spans="1:9" x14ac:dyDescent="0.15">
      <c r="A1737" s="6">
        <v>1736</v>
      </c>
      <c r="B1737" s="7" t="s">
        <v>9</v>
      </c>
      <c r="C1737" s="8">
        <v>1883</v>
      </c>
      <c r="D1737" s="9">
        <v>45395</v>
      </c>
      <c r="E1737" s="13" t="str">
        <f>+HYPERLINK("http://trademark.i-assist.jp/data/china/image_1883th/76416925.pdf","76416925")</f>
        <v>76416925</v>
      </c>
      <c r="F1737" s="7" t="s">
        <v>4788</v>
      </c>
      <c r="G1737" s="7" t="s">
        <v>4789</v>
      </c>
      <c r="H1737" s="7" t="s">
        <v>4790</v>
      </c>
      <c r="I1737" s="9">
        <v>45307</v>
      </c>
    </row>
    <row r="1738" spans="1:9" x14ac:dyDescent="0.15">
      <c r="A1738" s="6">
        <v>1737</v>
      </c>
      <c r="B1738" s="7" t="s">
        <v>9</v>
      </c>
      <c r="C1738" s="8">
        <v>1883</v>
      </c>
      <c r="D1738" s="9">
        <v>45395</v>
      </c>
      <c r="E1738" s="13" t="str">
        <f>+HYPERLINK("http://trademark.i-assist.jp/data/china/image_1883th/76416935.pdf","76416935")</f>
        <v>76416935</v>
      </c>
      <c r="F1738" s="7" t="s">
        <v>4791</v>
      </c>
      <c r="G1738" s="7" t="s">
        <v>4789</v>
      </c>
      <c r="H1738" s="7" t="s">
        <v>4792</v>
      </c>
      <c r="I1738" s="9">
        <v>45307</v>
      </c>
    </row>
    <row r="1739" spans="1:9" x14ac:dyDescent="0.15">
      <c r="A1739" s="6">
        <v>1738</v>
      </c>
      <c r="B1739" s="7" t="s">
        <v>9</v>
      </c>
      <c r="C1739" s="8">
        <v>1883</v>
      </c>
      <c r="D1739" s="9">
        <v>45395</v>
      </c>
      <c r="E1739" s="13" t="str">
        <f>+HYPERLINK("http://trademark.i-assist.jp/data/china/image_1883th/76417046.pdf","76417046")</f>
        <v>76417046</v>
      </c>
      <c r="F1739" s="7" t="s">
        <v>4793</v>
      </c>
      <c r="G1739" s="7" t="s">
        <v>4794</v>
      </c>
      <c r="H1739" s="7" t="s">
        <v>4795</v>
      </c>
      <c r="I1739" s="9">
        <v>45307</v>
      </c>
    </row>
    <row r="1740" spans="1:9" x14ac:dyDescent="0.15">
      <c r="A1740" s="6">
        <v>1739</v>
      </c>
      <c r="B1740" s="7" t="s">
        <v>9</v>
      </c>
      <c r="C1740" s="8">
        <v>1883</v>
      </c>
      <c r="D1740" s="9">
        <v>45395</v>
      </c>
      <c r="E1740" s="13" t="str">
        <f>+HYPERLINK("http://trademark.i-assist.jp/data/china/image_1883th/76417071.pdf","76417071")</f>
        <v>76417071</v>
      </c>
      <c r="F1740" s="7" t="s">
        <v>4796</v>
      </c>
      <c r="G1740" s="7" t="s">
        <v>4454</v>
      </c>
      <c r="H1740" s="7" t="s">
        <v>4797</v>
      </c>
      <c r="I1740" s="9">
        <v>45307</v>
      </c>
    </row>
    <row r="1741" spans="1:9" x14ac:dyDescent="0.15">
      <c r="A1741" s="6">
        <v>1740</v>
      </c>
      <c r="B1741" s="7" t="s">
        <v>9</v>
      </c>
      <c r="C1741" s="8">
        <v>1883</v>
      </c>
      <c r="D1741" s="9">
        <v>45395</v>
      </c>
      <c r="E1741" s="13" t="str">
        <f>+HYPERLINK("http://trademark.i-assist.jp/data/china/image_1883th/76417146.pdf","76417146")</f>
        <v>76417146</v>
      </c>
      <c r="F1741" s="7" t="s">
        <v>4798</v>
      </c>
      <c r="G1741" s="7" t="s">
        <v>4799</v>
      </c>
      <c r="H1741" s="7" t="s">
        <v>4800</v>
      </c>
      <c r="I1741" s="9">
        <v>45307</v>
      </c>
    </row>
    <row r="1742" spans="1:9" x14ac:dyDescent="0.15">
      <c r="A1742" s="6">
        <v>1741</v>
      </c>
      <c r="B1742" s="7" t="s">
        <v>9</v>
      </c>
      <c r="C1742" s="8">
        <v>1883</v>
      </c>
      <c r="D1742" s="9">
        <v>45395</v>
      </c>
      <c r="E1742" s="13" t="str">
        <f>+HYPERLINK("http://trademark.i-assist.jp/data/china/image_1883th/76417173.pdf","76417173")</f>
        <v>76417173</v>
      </c>
      <c r="F1742" s="7" t="s">
        <v>4801</v>
      </c>
      <c r="G1742" s="7" t="s">
        <v>4802</v>
      </c>
      <c r="H1742" s="7" t="s">
        <v>4803</v>
      </c>
      <c r="I1742" s="9">
        <v>45307</v>
      </c>
    </row>
    <row r="1743" spans="1:9" x14ac:dyDescent="0.15">
      <c r="A1743" s="6">
        <v>1742</v>
      </c>
      <c r="B1743" s="7" t="s">
        <v>9</v>
      </c>
      <c r="C1743" s="8">
        <v>1883</v>
      </c>
      <c r="D1743" s="9">
        <v>45395</v>
      </c>
      <c r="E1743" s="13" t="str">
        <f>+HYPERLINK("http://trademark.i-assist.jp/data/china/image_1883th/76417211.pdf","76417211")</f>
        <v>76417211</v>
      </c>
      <c r="F1743" s="7" t="s">
        <v>4804</v>
      </c>
      <c r="G1743" s="7" t="s">
        <v>4805</v>
      </c>
      <c r="H1743" s="7" t="s">
        <v>4806</v>
      </c>
      <c r="I1743" s="9">
        <v>45307</v>
      </c>
    </row>
    <row r="1744" spans="1:9" x14ac:dyDescent="0.15">
      <c r="A1744" s="6">
        <v>1743</v>
      </c>
      <c r="B1744" s="7" t="s">
        <v>9</v>
      </c>
      <c r="C1744" s="8">
        <v>1883</v>
      </c>
      <c r="D1744" s="9">
        <v>45395</v>
      </c>
      <c r="E1744" s="13" t="str">
        <f>+HYPERLINK("http://trademark.i-assist.jp/data/china/image_1883th/76417232.pdf","76417232")</f>
        <v>76417232</v>
      </c>
      <c r="F1744" s="7" t="s">
        <v>57</v>
      </c>
      <c r="G1744" s="7" t="s">
        <v>4807</v>
      </c>
      <c r="H1744" s="7" t="s">
        <v>4808</v>
      </c>
      <c r="I1744" s="9">
        <v>45307</v>
      </c>
    </row>
    <row r="1745" spans="1:9" x14ac:dyDescent="0.15">
      <c r="A1745" s="6">
        <v>1744</v>
      </c>
      <c r="B1745" s="7" t="s">
        <v>9</v>
      </c>
      <c r="C1745" s="8">
        <v>1883</v>
      </c>
      <c r="D1745" s="9">
        <v>45395</v>
      </c>
      <c r="E1745" s="13" t="str">
        <f>+HYPERLINK("http://trademark.i-assist.jp/data/china/image_1883th/76417324.pdf","76417324")</f>
        <v>76417324</v>
      </c>
      <c r="F1745" s="7" t="s">
        <v>4809</v>
      </c>
      <c r="G1745" s="7" t="s">
        <v>4810</v>
      </c>
      <c r="H1745" s="7" t="s">
        <v>4811</v>
      </c>
      <c r="I1745" s="9">
        <v>45307</v>
      </c>
    </row>
    <row r="1746" spans="1:9" x14ac:dyDescent="0.15">
      <c r="A1746" s="6">
        <v>1745</v>
      </c>
      <c r="B1746" s="7" t="s">
        <v>9</v>
      </c>
      <c r="C1746" s="8">
        <v>1883</v>
      </c>
      <c r="D1746" s="9">
        <v>45395</v>
      </c>
      <c r="E1746" s="13" t="str">
        <f>+HYPERLINK("http://trademark.i-assist.jp/data/china/image_1883th/76417330.pdf","76417330")</f>
        <v>76417330</v>
      </c>
      <c r="F1746" s="7" t="s">
        <v>4812</v>
      </c>
      <c r="G1746" s="7" t="s">
        <v>4813</v>
      </c>
      <c r="H1746" s="7" t="s">
        <v>4814</v>
      </c>
      <c r="I1746" s="9">
        <v>45307</v>
      </c>
    </row>
    <row r="1747" spans="1:9" x14ac:dyDescent="0.15">
      <c r="A1747" s="6">
        <v>1746</v>
      </c>
      <c r="B1747" s="7" t="s">
        <v>9</v>
      </c>
      <c r="C1747" s="8">
        <v>1883</v>
      </c>
      <c r="D1747" s="9">
        <v>45395</v>
      </c>
      <c r="E1747" s="13" t="str">
        <f>+HYPERLINK("http://trademark.i-assist.jp/data/china/image_1883th/76417380.pdf","76417380")</f>
        <v>76417380</v>
      </c>
      <c r="F1747" s="7" t="s">
        <v>4815</v>
      </c>
      <c r="G1747" s="7" t="s">
        <v>4816</v>
      </c>
      <c r="H1747" s="7" t="s">
        <v>4817</v>
      </c>
      <c r="I1747" s="9">
        <v>45307</v>
      </c>
    </row>
    <row r="1748" spans="1:9" x14ac:dyDescent="0.15">
      <c r="A1748" s="6">
        <v>1747</v>
      </c>
      <c r="B1748" s="7" t="s">
        <v>9</v>
      </c>
      <c r="C1748" s="8">
        <v>1883</v>
      </c>
      <c r="D1748" s="9">
        <v>45395</v>
      </c>
      <c r="E1748" s="13" t="str">
        <f>+HYPERLINK("http://trademark.i-assist.jp/data/china/image_1883th/76417408.pdf","76417408")</f>
        <v>76417408</v>
      </c>
      <c r="F1748" s="7" t="s">
        <v>4818</v>
      </c>
      <c r="G1748" s="7" t="s">
        <v>4819</v>
      </c>
      <c r="H1748" s="7" t="s">
        <v>4820</v>
      </c>
      <c r="I1748" s="9">
        <v>45307</v>
      </c>
    </row>
    <row r="1749" spans="1:9" x14ac:dyDescent="0.15">
      <c r="A1749" s="6">
        <v>1748</v>
      </c>
      <c r="B1749" s="7" t="s">
        <v>9</v>
      </c>
      <c r="C1749" s="8">
        <v>1883</v>
      </c>
      <c r="D1749" s="9">
        <v>45395</v>
      </c>
      <c r="E1749" s="13" t="str">
        <f>+HYPERLINK("http://trademark.i-assist.jp/data/china/image_1883th/76417533.pdf","76417533")</f>
        <v>76417533</v>
      </c>
      <c r="F1749" s="7" t="s">
        <v>4821</v>
      </c>
      <c r="G1749" s="7" t="s">
        <v>4822</v>
      </c>
      <c r="H1749" s="7" t="s">
        <v>4823</v>
      </c>
      <c r="I1749" s="9">
        <v>45307</v>
      </c>
    </row>
    <row r="1750" spans="1:9" x14ac:dyDescent="0.15">
      <c r="A1750" s="6">
        <v>1749</v>
      </c>
      <c r="B1750" s="7" t="s">
        <v>9</v>
      </c>
      <c r="C1750" s="8">
        <v>1883</v>
      </c>
      <c r="D1750" s="9">
        <v>45395</v>
      </c>
      <c r="E1750" s="13" t="str">
        <f>+HYPERLINK("http://trademark.i-assist.jp/data/china/image_1883th/76417569.pdf","76417569")</f>
        <v>76417569</v>
      </c>
      <c r="F1750" s="7" t="s">
        <v>4824</v>
      </c>
      <c r="G1750" s="7" t="s">
        <v>4825</v>
      </c>
      <c r="H1750" s="7" t="s">
        <v>4826</v>
      </c>
      <c r="I1750" s="9">
        <v>45307</v>
      </c>
    </row>
    <row r="1751" spans="1:9" x14ac:dyDescent="0.15">
      <c r="A1751" s="6">
        <v>1750</v>
      </c>
      <c r="B1751" s="7" t="s">
        <v>9</v>
      </c>
      <c r="C1751" s="8">
        <v>1883</v>
      </c>
      <c r="D1751" s="9">
        <v>45395</v>
      </c>
      <c r="E1751" s="13" t="str">
        <f>+HYPERLINK("http://trademark.i-assist.jp/data/china/image_1883th/76417608.pdf","76417608")</f>
        <v>76417608</v>
      </c>
      <c r="F1751" s="7" t="s">
        <v>4827</v>
      </c>
      <c r="G1751" s="7" t="s">
        <v>4828</v>
      </c>
      <c r="H1751" s="7" t="s">
        <v>4829</v>
      </c>
      <c r="I1751" s="9">
        <v>45307</v>
      </c>
    </row>
    <row r="1752" spans="1:9" x14ac:dyDescent="0.15">
      <c r="A1752" s="6">
        <v>1751</v>
      </c>
      <c r="B1752" s="7" t="s">
        <v>9</v>
      </c>
      <c r="C1752" s="8">
        <v>1883</v>
      </c>
      <c r="D1752" s="9">
        <v>45395</v>
      </c>
      <c r="E1752" s="13" t="str">
        <f>+HYPERLINK("http://trademark.i-assist.jp/data/china/image_1883th/76417635.pdf","76417635")</f>
        <v>76417635</v>
      </c>
      <c r="F1752" s="7" t="s">
        <v>4830</v>
      </c>
      <c r="G1752" s="7" t="s">
        <v>4831</v>
      </c>
      <c r="H1752" s="7" t="s">
        <v>4832</v>
      </c>
      <c r="I1752" s="9">
        <v>45307</v>
      </c>
    </row>
    <row r="1753" spans="1:9" x14ac:dyDescent="0.15">
      <c r="A1753" s="6">
        <v>1752</v>
      </c>
      <c r="B1753" s="7" t="s">
        <v>9</v>
      </c>
      <c r="C1753" s="8">
        <v>1883</v>
      </c>
      <c r="D1753" s="9">
        <v>45395</v>
      </c>
      <c r="E1753" s="13" t="str">
        <f>+HYPERLINK("http://trademark.i-assist.jp/data/china/image_1883th/76417651.pdf","76417651")</f>
        <v>76417651</v>
      </c>
      <c r="F1753" s="7" t="s">
        <v>4833</v>
      </c>
      <c r="G1753" s="7" t="s">
        <v>4834</v>
      </c>
      <c r="H1753" s="7" t="s">
        <v>4835</v>
      </c>
      <c r="I1753" s="9">
        <v>45307</v>
      </c>
    </row>
    <row r="1754" spans="1:9" x14ac:dyDescent="0.15">
      <c r="A1754" s="6">
        <v>1753</v>
      </c>
      <c r="B1754" s="7" t="s">
        <v>9</v>
      </c>
      <c r="C1754" s="8">
        <v>1883</v>
      </c>
      <c r="D1754" s="9">
        <v>45395</v>
      </c>
      <c r="E1754" s="13" t="str">
        <f>+HYPERLINK("http://trademark.i-assist.jp/data/china/image_1883th/76417733.pdf","76417733")</f>
        <v>76417733</v>
      </c>
      <c r="F1754" s="7" t="s">
        <v>57</v>
      </c>
      <c r="G1754" s="7" t="s">
        <v>4786</v>
      </c>
      <c r="H1754" s="7" t="s">
        <v>4836</v>
      </c>
      <c r="I1754" s="9">
        <v>45307</v>
      </c>
    </row>
    <row r="1755" spans="1:9" x14ac:dyDescent="0.15">
      <c r="A1755" s="6">
        <v>1754</v>
      </c>
      <c r="B1755" s="7" t="s">
        <v>9</v>
      </c>
      <c r="C1755" s="8">
        <v>1883</v>
      </c>
      <c r="D1755" s="9">
        <v>45395</v>
      </c>
      <c r="E1755" s="13" t="str">
        <f>+HYPERLINK("http://trademark.i-assist.jp/data/china/image_1883th/76417746.pdf","76417746")</f>
        <v>76417746</v>
      </c>
      <c r="F1755" s="7" t="s">
        <v>4837</v>
      </c>
      <c r="G1755" s="7" t="s">
        <v>4838</v>
      </c>
      <c r="H1755" s="7" t="s">
        <v>4839</v>
      </c>
      <c r="I1755" s="9">
        <v>45307</v>
      </c>
    </row>
    <row r="1756" spans="1:9" x14ac:dyDescent="0.15">
      <c r="A1756" s="6">
        <v>1755</v>
      </c>
      <c r="B1756" s="7" t="s">
        <v>9</v>
      </c>
      <c r="C1756" s="8">
        <v>1883</v>
      </c>
      <c r="D1756" s="9">
        <v>45395</v>
      </c>
      <c r="E1756" s="13" t="str">
        <f>+HYPERLINK("http://trademark.i-assist.jp/data/china/image_1883th/76417901.pdf","76417901")</f>
        <v>76417901</v>
      </c>
      <c r="F1756" s="7" t="s">
        <v>4840</v>
      </c>
      <c r="G1756" s="7" t="s">
        <v>4841</v>
      </c>
      <c r="H1756" s="7" t="s">
        <v>4842</v>
      </c>
      <c r="I1756" s="9">
        <v>45307</v>
      </c>
    </row>
    <row r="1757" spans="1:9" ht="27" x14ac:dyDescent="0.15">
      <c r="A1757" s="6">
        <v>1756</v>
      </c>
      <c r="B1757" s="7" t="s">
        <v>9</v>
      </c>
      <c r="C1757" s="8">
        <v>1883</v>
      </c>
      <c r="D1757" s="9">
        <v>45395</v>
      </c>
      <c r="E1757" s="13" t="str">
        <f>+HYPERLINK("http://trademark.i-assist.jp/data/china/image_1883th/76418046.pdf","76418046")</f>
        <v>76418046</v>
      </c>
      <c r="F1757" s="7" t="s">
        <v>4843</v>
      </c>
      <c r="G1757" s="7" t="s">
        <v>4844</v>
      </c>
      <c r="H1757" s="7" t="s">
        <v>4845</v>
      </c>
      <c r="I1757" s="9">
        <v>45307</v>
      </c>
    </row>
    <row r="1758" spans="1:9" x14ac:dyDescent="0.15">
      <c r="A1758" s="6">
        <v>1757</v>
      </c>
      <c r="B1758" s="7" t="s">
        <v>9</v>
      </c>
      <c r="C1758" s="8">
        <v>1883</v>
      </c>
      <c r="D1758" s="9">
        <v>45395</v>
      </c>
      <c r="E1758" s="13" t="str">
        <f>+HYPERLINK("http://trademark.i-assist.jp/data/china/image_1883th/76418184.pdf","76418184")</f>
        <v>76418184</v>
      </c>
      <c r="F1758" s="7" t="s">
        <v>4846</v>
      </c>
      <c r="G1758" s="7" t="s">
        <v>4495</v>
      </c>
      <c r="H1758" s="7" t="s">
        <v>4847</v>
      </c>
      <c r="I1758" s="9">
        <v>45307</v>
      </c>
    </row>
    <row r="1759" spans="1:9" x14ac:dyDescent="0.15">
      <c r="A1759" s="6">
        <v>1758</v>
      </c>
      <c r="B1759" s="7" t="s">
        <v>9</v>
      </c>
      <c r="C1759" s="8">
        <v>1883</v>
      </c>
      <c r="D1759" s="9">
        <v>45395</v>
      </c>
      <c r="E1759" s="13" t="str">
        <f>+HYPERLINK("http://trademark.i-assist.jp/data/china/image_1883th/76418354.pdf","76418354")</f>
        <v>76418354</v>
      </c>
      <c r="F1759" s="7" t="s">
        <v>4848</v>
      </c>
      <c r="G1759" s="7" t="s">
        <v>4466</v>
      </c>
      <c r="H1759" s="7" t="s">
        <v>4849</v>
      </c>
      <c r="I1759" s="9">
        <v>45307</v>
      </c>
    </row>
    <row r="1760" spans="1:9" x14ac:dyDescent="0.15">
      <c r="A1760" s="6">
        <v>1759</v>
      </c>
      <c r="B1760" s="7" t="s">
        <v>9</v>
      </c>
      <c r="C1760" s="8">
        <v>1883</v>
      </c>
      <c r="D1760" s="9">
        <v>45395</v>
      </c>
      <c r="E1760" s="13" t="str">
        <f>+HYPERLINK("http://trademark.i-assist.jp/data/china/image_1883th/76418430.pdf","76418430")</f>
        <v>76418430</v>
      </c>
      <c r="F1760" s="7" t="s">
        <v>4850</v>
      </c>
      <c r="G1760" s="7" t="s">
        <v>4743</v>
      </c>
      <c r="H1760" s="7" t="s">
        <v>4851</v>
      </c>
      <c r="I1760" s="9">
        <v>45307</v>
      </c>
    </row>
    <row r="1761" spans="1:9" x14ac:dyDescent="0.15">
      <c r="A1761" s="6">
        <v>1760</v>
      </c>
      <c r="B1761" s="7" t="s">
        <v>9</v>
      </c>
      <c r="C1761" s="8">
        <v>1883</v>
      </c>
      <c r="D1761" s="9">
        <v>45395</v>
      </c>
      <c r="E1761" s="13" t="str">
        <f>+HYPERLINK("http://trademark.i-assist.jp/data/china/image_1883th/76418433.pdf","76418433")</f>
        <v>76418433</v>
      </c>
      <c r="F1761" s="7" t="s">
        <v>4852</v>
      </c>
      <c r="G1761" s="7" t="s">
        <v>4740</v>
      </c>
      <c r="H1761" s="7" t="s">
        <v>4853</v>
      </c>
      <c r="I1761" s="9">
        <v>45307</v>
      </c>
    </row>
    <row r="1762" spans="1:9" x14ac:dyDescent="0.15">
      <c r="A1762" s="6">
        <v>1761</v>
      </c>
      <c r="B1762" s="7" t="s">
        <v>9</v>
      </c>
      <c r="C1762" s="8">
        <v>1883</v>
      </c>
      <c r="D1762" s="9">
        <v>45395</v>
      </c>
      <c r="E1762" s="13" t="str">
        <f>+HYPERLINK("http://trademark.i-assist.jp/data/china/image_1883th/76418437.pdf","76418437")</f>
        <v>76418437</v>
      </c>
      <c r="F1762" s="7" t="s">
        <v>4854</v>
      </c>
      <c r="G1762" s="7" t="s">
        <v>3246</v>
      </c>
      <c r="H1762" s="7" t="s">
        <v>4855</v>
      </c>
      <c r="I1762" s="9">
        <v>45307</v>
      </c>
    </row>
    <row r="1763" spans="1:9" x14ac:dyDescent="0.15">
      <c r="A1763" s="6">
        <v>1762</v>
      </c>
      <c r="B1763" s="7" t="s">
        <v>9</v>
      </c>
      <c r="C1763" s="8">
        <v>1883</v>
      </c>
      <c r="D1763" s="9">
        <v>45395</v>
      </c>
      <c r="E1763" s="13" t="str">
        <f>+HYPERLINK("http://trademark.i-assist.jp/data/china/image_1883th/76418713.pdf","76418713")</f>
        <v>76418713</v>
      </c>
      <c r="F1763" s="7" t="s">
        <v>4856</v>
      </c>
      <c r="G1763" s="7" t="s">
        <v>4857</v>
      </c>
      <c r="H1763" s="7" t="s">
        <v>4858</v>
      </c>
      <c r="I1763" s="9">
        <v>45307</v>
      </c>
    </row>
    <row r="1764" spans="1:9" ht="27" x14ac:dyDescent="0.15">
      <c r="A1764" s="6">
        <v>1763</v>
      </c>
      <c r="B1764" s="7" t="s">
        <v>9</v>
      </c>
      <c r="C1764" s="8">
        <v>1883</v>
      </c>
      <c r="D1764" s="9">
        <v>45395</v>
      </c>
      <c r="E1764" s="13" t="str">
        <f>+HYPERLINK("http://trademark.i-assist.jp/data/china/image_1883th/76418742.pdf","76418742")</f>
        <v>76418742</v>
      </c>
      <c r="F1764" s="7" t="s">
        <v>4859</v>
      </c>
      <c r="G1764" s="7" t="s">
        <v>4860</v>
      </c>
      <c r="H1764" s="7" t="s">
        <v>4861</v>
      </c>
      <c r="I1764" s="9">
        <v>45307</v>
      </c>
    </row>
    <row r="1765" spans="1:9" x14ac:dyDescent="0.15">
      <c r="A1765" s="6">
        <v>1764</v>
      </c>
      <c r="B1765" s="7" t="s">
        <v>9</v>
      </c>
      <c r="C1765" s="8">
        <v>1883</v>
      </c>
      <c r="D1765" s="9">
        <v>45395</v>
      </c>
      <c r="E1765" s="13" t="str">
        <f>+HYPERLINK("http://trademark.i-assist.jp/data/china/image_1883th/76418829.pdf","76418829")</f>
        <v>76418829</v>
      </c>
      <c r="F1765" s="7" t="s">
        <v>4862</v>
      </c>
      <c r="G1765" s="7" t="s">
        <v>4863</v>
      </c>
      <c r="H1765" s="7" t="s">
        <v>4864</v>
      </c>
      <c r="I1765" s="9">
        <v>45307</v>
      </c>
    </row>
    <row r="1766" spans="1:9" x14ac:dyDescent="0.15">
      <c r="A1766" s="6">
        <v>1765</v>
      </c>
      <c r="B1766" s="7" t="s">
        <v>9</v>
      </c>
      <c r="C1766" s="8">
        <v>1883</v>
      </c>
      <c r="D1766" s="9">
        <v>45395</v>
      </c>
      <c r="E1766" s="13" t="str">
        <f>+HYPERLINK("http://trademark.i-assist.jp/data/china/image_1883th/76419026.pdf","76419026")</f>
        <v>76419026</v>
      </c>
      <c r="F1766" s="7" t="s">
        <v>4865</v>
      </c>
      <c r="G1766" s="7" t="s">
        <v>4608</v>
      </c>
      <c r="H1766" s="7" t="s">
        <v>4866</v>
      </c>
      <c r="I1766" s="9">
        <v>45307</v>
      </c>
    </row>
    <row r="1767" spans="1:9" ht="27" x14ac:dyDescent="0.15">
      <c r="A1767" s="6">
        <v>1766</v>
      </c>
      <c r="B1767" s="7" t="s">
        <v>9</v>
      </c>
      <c r="C1767" s="8">
        <v>1883</v>
      </c>
      <c r="D1767" s="9">
        <v>45395</v>
      </c>
      <c r="E1767" s="13" t="str">
        <f>+HYPERLINK("http://trademark.i-assist.jp/data/china/image_1883th/76419161.pdf","76419161")</f>
        <v>76419161</v>
      </c>
      <c r="F1767" s="7" t="s">
        <v>4867</v>
      </c>
      <c r="G1767" s="7" t="s">
        <v>4868</v>
      </c>
      <c r="H1767" s="7" t="s">
        <v>4869</v>
      </c>
      <c r="I1767" s="9">
        <v>45307</v>
      </c>
    </row>
    <row r="1768" spans="1:9" x14ac:dyDescent="0.15">
      <c r="A1768" s="6">
        <v>1767</v>
      </c>
      <c r="B1768" s="7" t="s">
        <v>9</v>
      </c>
      <c r="C1768" s="8">
        <v>1883</v>
      </c>
      <c r="D1768" s="9">
        <v>45395</v>
      </c>
      <c r="E1768" s="13" t="str">
        <f>+HYPERLINK("http://trademark.i-assist.jp/data/china/image_1883th/76419345.pdf","76419345")</f>
        <v>76419345</v>
      </c>
      <c r="F1768" s="7" t="s">
        <v>4870</v>
      </c>
      <c r="G1768" s="7" t="s">
        <v>4871</v>
      </c>
      <c r="H1768" s="7" t="s">
        <v>4872</v>
      </c>
      <c r="I1768" s="9">
        <v>45307</v>
      </c>
    </row>
    <row r="1769" spans="1:9" x14ac:dyDescent="0.15">
      <c r="A1769" s="6">
        <v>1768</v>
      </c>
      <c r="B1769" s="7" t="s">
        <v>9</v>
      </c>
      <c r="C1769" s="8">
        <v>1883</v>
      </c>
      <c r="D1769" s="9">
        <v>45395</v>
      </c>
      <c r="E1769" s="13" t="str">
        <f>+HYPERLINK("http://trademark.i-assist.jp/data/china/image_1883th/76419478.pdf","76419478")</f>
        <v>76419478</v>
      </c>
      <c r="F1769" s="7" t="s">
        <v>4873</v>
      </c>
      <c r="G1769" s="7" t="s">
        <v>4874</v>
      </c>
      <c r="H1769" s="7" t="s">
        <v>4875</v>
      </c>
      <c r="I1769" s="9">
        <v>45307</v>
      </c>
    </row>
    <row r="1770" spans="1:9" x14ac:dyDescent="0.15">
      <c r="A1770" s="6">
        <v>1769</v>
      </c>
      <c r="B1770" s="7" t="s">
        <v>9</v>
      </c>
      <c r="C1770" s="8">
        <v>1883</v>
      </c>
      <c r="D1770" s="9">
        <v>45395</v>
      </c>
      <c r="E1770" s="13" t="str">
        <f>+HYPERLINK("http://trademark.i-assist.jp/data/china/image_1883th/76419522.pdf","76419522")</f>
        <v>76419522</v>
      </c>
      <c r="F1770" s="7" t="s">
        <v>4876</v>
      </c>
      <c r="G1770" s="7" t="s">
        <v>4877</v>
      </c>
      <c r="H1770" s="7" t="s">
        <v>4878</v>
      </c>
      <c r="I1770" s="9">
        <v>45307</v>
      </c>
    </row>
    <row r="1771" spans="1:9" x14ac:dyDescent="0.15">
      <c r="A1771" s="6">
        <v>1770</v>
      </c>
      <c r="B1771" s="7" t="s">
        <v>9</v>
      </c>
      <c r="C1771" s="8">
        <v>1883</v>
      </c>
      <c r="D1771" s="9">
        <v>45395</v>
      </c>
      <c r="E1771" s="13" t="str">
        <f>+HYPERLINK("http://trademark.i-assist.jp/data/china/image_1883th/76419641.pdf","76419641")</f>
        <v>76419641</v>
      </c>
      <c r="F1771" s="7" t="s">
        <v>4879</v>
      </c>
      <c r="G1771" s="7" t="s">
        <v>4880</v>
      </c>
      <c r="H1771" s="7" t="s">
        <v>4881</v>
      </c>
      <c r="I1771" s="9">
        <v>45307</v>
      </c>
    </row>
    <row r="1772" spans="1:9" x14ac:dyDescent="0.15">
      <c r="A1772" s="6">
        <v>1771</v>
      </c>
      <c r="B1772" s="7" t="s">
        <v>9</v>
      </c>
      <c r="C1772" s="8">
        <v>1883</v>
      </c>
      <c r="D1772" s="9">
        <v>45395</v>
      </c>
      <c r="E1772" s="13" t="str">
        <f>+HYPERLINK("http://trademark.i-assist.jp/data/china/image_1883th/76419668.pdf","76419668")</f>
        <v>76419668</v>
      </c>
      <c r="F1772" s="7" t="s">
        <v>4882</v>
      </c>
      <c r="G1772" s="7" t="s">
        <v>4563</v>
      </c>
      <c r="H1772" s="7" t="s">
        <v>4883</v>
      </c>
      <c r="I1772" s="9">
        <v>45307</v>
      </c>
    </row>
    <row r="1773" spans="1:9" x14ac:dyDescent="0.15">
      <c r="A1773" s="6">
        <v>1772</v>
      </c>
      <c r="B1773" s="7" t="s">
        <v>9</v>
      </c>
      <c r="C1773" s="8">
        <v>1883</v>
      </c>
      <c r="D1773" s="9">
        <v>45395</v>
      </c>
      <c r="E1773" s="13" t="str">
        <f>+HYPERLINK("http://trademark.i-assist.jp/data/china/image_1883th/76419782.pdf","76419782")</f>
        <v>76419782</v>
      </c>
      <c r="F1773" s="7" t="s">
        <v>4884</v>
      </c>
      <c r="G1773" s="7" t="s">
        <v>4885</v>
      </c>
      <c r="H1773" s="7" t="s">
        <v>4886</v>
      </c>
      <c r="I1773" s="9">
        <v>45307</v>
      </c>
    </row>
    <row r="1774" spans="1:9" x14ac:dyDescent="0.15">
      <c r="A1774" s="6">
        <v>1773</v>
      </c>
      <c r="B1774" s="7" t="s">
        <v>9</v>
      </c>
      <c r="C1774" s="8">
        <v>1883</v>
      </c>
      <c r="D1774" s="9">
        <v>45395</v>
      </c>
      <c r="E1774" s="13" t="str">
        <f>+HYPERLINK("http://trademark.i-assist.jp/data/china/image_1883th/76419845.pdf","76419845")</f>
        <v>76419845</v>
      </c>
      <c r="F1774" s="7" t="s">
        <v>4887</v>
      </c>
      <c r="G1774" s="7" t="s">
        <v>4888</v>
      </c>
      <c r="H1774" s="7" t="s">
        <v>4889</v>
      </c>
      <c r="I1774" s="9">
        <v>45307</v>
      </c>
    </row>
    <row r="1775" spans="1:9" ht="27" x14ac:dyDescent="0.15">
      <c r="A1775" s="6">
        <v>1774</v>
      </c>
      <c r="B1775" s="7" t="s">
        <v>9</v>
      </c>
      <c r="C1775" s="8">
        <v>1883</v>
      </c>
      <c r="D1775" s="9">
        <v>45395</v>
      </c>
      <c r="E1775" s="13" t="str">
        <f>+HYPERLINK("http://trademark.i-assist.jp/data/china/image_1883th/76419954.pdf","76419954")</f>
        <v>76419954</v>
      </c>
      <c r="F1775" s="7" t="s">
        <v>4890</v>
      </c>
      <c r="G1775" s="7" t="s">
        <v>4891</v>
      </c>
      <c r="H1775" s="7" t="s">
        <v>4892</v>
      </c>
      <c r="I1775" s="9">
        <v>45307</v>
      </c>
    </row>
    <row r="1776" spans="1:9" ht="27" x14ac:dyDescent="0.15">
      <c r="A1776" s="6">
        <v>1775</v>
      </c>
      <c r="B1776" s="7" t="s">
        <v>9</v>
      </c>
      <c r="C1776" s="8">
        <v>1883</v>
      </c>
      <c r="D1776" s="9">
        <v>45395</v>
      </c>
      <c r="E1776" s="13" t="str">
        <f>+HYPERLINK("http://trademark.i-assist.jp/data/china/image_1883th/76419968.pdf","76419968")</f>
        <v>76419968</v>
      </c>
      <c r="F1776" s="7" t="s">
        <v>4893</v>
      </c>
      <c r="G1776" s="7" t="s">
        <v>4894</v>
      </c>
      <c r="H1776" s="7" t="s">
        <v>4895</v>
      </c>
      <c r="I1776" s="9">
        <v>45307</v>
      </c>
    </row>
    <row r="1777" spans="1:9" x14ac:dyDescent="0.15">
      <c r="A1777" s="6">
        <v>1776</v>
      </c>
      <c r="B1777" s="7" t="s">
        <v>9</v>
      </c>
      <c r="C1777" s="8">
        <v>1883</v>
      </c>
      <c r="D1777" s="9">
        <v>45395</v>
      </c>
      <c r="E1777" s="13" t="str">
        <f>+HYPERLINK("http://trademark.i-assist.jp/data/china/image_1883th/76419982.pdf","76419982")</f>
        <v>76419982</v>
      </c>
      <c r="F1777" s="7" t="s">
        <v>4896</v>
      </c>
      <c r="G1777" s="7" t="s">
        <v>4897</v>
      </c>
      <c r="H1777" s="7" t="s">
        <v>4898</v>
      </c>
      <c r="I1777" s="9">
        <v>45307</v>
      </c>
    </row>
    <row r="1778" spans="1:9" x14ac:dyDescent="0.15">
      <c r="A1778" s="6">
        <v>1777</v>
      </c>
      <c r="B1778" s="7" t="s">
        <v>9</v>
      </c>
      <c r="C1778" s="8">
        <v>1883</v>
      </c>
      <c r="D1778" s="9">
        <v>45395</v>
      </c>
      <c r="E1778" s="13" t="str">
        <f>+HYPERLINK("http://trademark.i-assist.jp/data/china/image_1883th/76420025.pdf","76420025")</f>
        <v>76420025</v>
      </c>
      <c r="F1778" s="7" t="s">
        <v>4899</v>
      </c>
      <c r="G1778" s="7" t="s">
        <v>4900</v>
      </c>
      <c r="H1778" s="7" t="s">
        <v>4901</v>
      </c>
      <c r="I1778" s="9">
        <v>45307</v>
      </c>
    </row>
    <row r="1779" spans="1:9" x14ac:dyDescent="0.15">
      <c r="A1779" s="6">
        <v>1778</v>
      </c>
      <c r="B1779" s="7" t="s">
        <v>9</v>
      </c>
      <c r="C1779" s="8">
        <v>1883</v>
      </c>
      <c r="D1779" s="9">
        <v>45395</v>
      </c>
      <c r="E1779" s="13" t="str">
        <f>+HYPERLINK("http://trademark.i-assist.jp/data/china/image_1883th/76420049.pdf","76420049")</f>
        <v>76420049</v>
      </c>
      <c r="F1779" s="7" t="s">
        <v>4902</v>
      </c>
      <c r="G1779" s="7" t="s">
        <v>4903</v>
      </c>
      <c r="H1779" s="7" t="s">
        <v>4904</v>
      </c>
      <c r="I1779" s="9">
        <v>45307</v>
      </c>
    </row>
    <row r="1780" spans="1:9" x14ac:dyDescent="0.15">
      <c r="A1780" s="6">
        <v>1779</v>
      </c>
      <c r="B1780" s="7" t="s">
        <v>9</v>
      </c>
      <c r="C1780" s="8">
        <v>1883</v>
      </c>
      <c r="D1780" s="9">
        <v>45395</v>
      </c>
      <c r="E1780" s="13" t="str">
        <f>+HYPERLINK("http://trademark.i-assist.jp/data/china/image_1883th/76420258.pdf","76420258")</f>
        <v>76420258</v>
      </c>
      <c r="F1780" s="7" t="s">
        <v>4905</v>
      </c>
      <c r="G1780" s="7" t="s">
        <v>4906</v>
      </c>
      <c r="H1780" s="7" t="s">
        <v>4907</v>
      </c>
      <c r="I1780" s="9">
        <v>45307</v>
      </c>
    </row>
    <row r="1781" spans="1:9" x14ac:dyDescent="0.15">
      <c r="A1781" s="6">
        <v>1780</v>
      </c>
      <c r="B1781" s="7" t="s">
        <v>9</v>
      </c>
      <c r="C1781" s="8">
        <v>1883</v>
      </c>
      <c r="D1781" s="9">
        <v>45395</v>
      </c>
      <c r="E1781" s="13" t="str">
        <f>+HYPERLINK("http://trademark.i-assist.jp/data/china/image_1883th/76420297.pdf","76420297")</f>
        <v>76420297</v>
      </c>
      <c r="F1781" s="7" t="s">
        <v>4908</v>
      </c>
      <c r="G1781" s="7" t="s">
        <v>4909</v>
      </c>
      <c r="H1781" s="7" t="s">
        <v>4910</v>
      </c>
      <c r="I1781" s="9">
        <v>45307</v>
      </c>
    </row>
    <row r="1782" spans="1:9" x14ac:dyDescent="0.15">
      <c r="A1782" s="6">
        <v>1781</v>
      </c>
      <c r="B1782" s="7" t="s">
        <v>9</v>
      </c>
      <c r="C1782" s="8">
        <v>1883</v>
      </c>
      <c r="D1782" s="9">
        <v>45395</v>
      </c>
      <c r="E1782" s="13" t="str">
        <f>+HYPERLINK("http://trademark.i-assist.jp/data/china/image_1883th/76420402.pdf","76420402")</f>
        <v>76420402</v>
      </c>
      <c r="F1782" s="7" t="s">
        <v>4911</v>
      </c>
      <c r="G1782" s="7" t="s">
        <v>4912</v>
      </c>
      <c r="H1782" s="7" t="s">
        <v>4913</v>
      </c>
      <c r="I1782" s="9">
        <v>45307</v>
      </c>
    </row>
    <row r="1783" spans="1:9" x14ac:dyDescent="0.15">
      <c r="A1783" s="6">
        <v>1782</v>
      </c>
      <c r="B1783" s="7" t="s">
        <v>9</v>
      </c>
      <c r="C1783" s="8">
        <v>1883</v>
      </c>
      <c r="D1783" s="9">
        <v>45395</v>
      </c>
      <c r="E1783" s="13" t="str">
        <f>+HYPERLINK("http://trademark.i-assist.jp/data/china/image_1883th/76420456.pdf","76420456")</f>
        <v>76420456</v>
      </c>
      <c r="F1783" s="7" t="s">
        <v>4914</v>
      </c>
      <c r="G1783" s="7" t="s">
        <v>4915</v>
      </c>
      <c r="H1783" s="7" t="s">
        <v>4916</v>
      </c>
      <c r="I1783" s="9">
        <v>45307</v>
      </c>
    </row>
    <row r="1784" spans="1:9" x14ac:dyDescent="0.15">
      <c r="A1784" s="6">
        <v>1783</v>
      </c>
      <c r="B1784" s="7" t="s">
        <v>9</v>
      </c>
      <c r="C1784" s="8">
        <v>1883</v>
      </c>
      <c r="D1784" s="9">
        <v>45395</v>
      </c>
      <c r="E1784" s="13" t="str">
        <f>+HYPERLINK("http://trademark.i-assist.jp/data/china/image_1883th/76420458.pdf","76420458")</f>
        <v>76420458</v>
      </c>
      <c r="F1784" s="7" t="s">
        <v>4917</v>
      </c>
      <c r="G1784" s="7" t="s">
        <v>4918</v>
      </c>
      <c r="H1784" s="7" t="s">
        <v>4919</v>
      </c>
      <c r="I1784" s="9">
        <v>45307</v>
      </c>
    </row>
    <row r="1785" spans="1:9" x14ac:dyDescent="0.15">
      <c r="A1785" s="6">
        <v>1784</v>
      </c>
      <c r="B1785" s="7" t="s">
        <v>9</v>
      </c>
      <c r="C1785" s="8">
        <v>1883</v>
      </c>
      <c r="D1785" s="9">
        <v>45395</v>
      </c>
      <c r="E1785" s="13" t="str">
        <f>+HYPERLINK("http://trademark.i-assist.jp/data/china/image_1883th/76420511.pdf","76420511")</f>
        <v>76420511</v>
      </c>
      <c r="F1785" s="7" t="s">
        <v>4920</v>
      </c>
      <c r="G1785" s="7" t="s">
        <v>4921</v>
      </c>
      <c r="H1785" s="7" t="s">
        <v>4922</v>
      </c>
      <c r="I1785" s="9">
        <v>45307</v>
      </c>
    </row>
    <row r="1786" spans="1:9" x14ac:dyDescent="0.15">
      <c r="A1786" s="6">
        <v>1785</v>
      </c>
      <c r="B1786" s="7" t="s">
        <v>9</v>
      </c>
      <c r="C1786" s="8">
        <v>1883</v>
      </c>
      <c r="D1786" s="9">
        <v>45395</v>
      </c>
      <c r="E1786" s="13" t="str">
        <f>+HYPERLINK("http://trademark.i-assist.jp/data/china/image_1883th/76420684.pdf","76420684")</f>
        <v>76420684</v>
      </c>
      <c r="F1786" s="7" t="s">
        <v>4923</v>
      </c>
      <c r="G1786" s="7" t="s">
        <v>4924</v>
      </c>
      <c r="H1786" s="7" t="s">
        <v>4925</v>
      </c>
      <c r="I1786" s="9">
        <v>45307</v>
      </c>
    </row>
    <row r="1787" spans="1:9" x14ac:dyDescent="0.15">
      <c r="A1787" s="6">
        <v>1786</v>
      </c>
      <c r="B1787" s="7" t="s">
        <v>9</v>
      </c>
      <c r="C1787" s="8">
        <v>1883</v>
      </c>
      <c r="D1787" s="9">
        <v>45395</v>
      </c>
      <c r="E1787" s="13" t="str">
        <f>+HYPERLINK("http://trademark.i-assist.jp/data/china/image_1883th/76420903.pdf","76420903")</f>
        <v>76420903</v>
      </c>
      <c r="F1787" s="7" t="s">
        <v>4926</v>
      </c>
      <c r="G1787" s="7" t="s">
        <v>1716</v>
      </c>
      <c r="H1787" s="7" t="s">
        <v>4927</v>
      </c>
      <c r="I1787" s="9">
        <v>45307</v>
      </c>
    </row>
    <row r="1788" spans="1:9" x14ac:dyDescent="0.15">
      <c r="A1788" s="6">
        <v>1787</v>
      </c>
      <c r="B1788" s="7" t="s">
        <v>9</v>
      </c>
      <c r="C1788" s="8">
        <v>1883</v>
      </c>
      <c r="D1788" s="9">
        <v>45395</v>
      </c>
      <c r="E1788" s="13" t="str">
        <f>+HYPERLINK("http://trademark.i-assist.jp/data/china/image_1883th/76420910.pdf","76420910")</f>
        <v>76420910</v>
      </c>
      <c r="F1788" s="7" t="s">
        <v>4928</v>
      </c>
      <c r="G1788" s="7" t="s">
        <v>4566</v>
      </c>
      <c r="H1788" s="7" t="s">
        <v>4929</v>
      </c>
      <c r="I1788" s="9">
        <v>45307</v>
      </c>
    </row>
    <row r="1789" spans="1:9" ht="27" x14ac:dyDescent="0.15">
      <c r="A1789" s="6">
        <v>1788</v>
      </c>
      <c r="B1789" s="7" t="s">
        <v>9</v>
      </c>
      <c r="C1789" s="8">
        <v>1883</v>
      </c>
      <c r="D1789" s="9">
        <v>45395</v>
      </c>
      <c r="E1789" s="13" t="str">
        <f>+HYPERLINK("http://trademark.i-assist.jp/data/china/image_1883th/76420927.pdf","76420927")</f>
        <v>76420927</v>
      </c>
      <c r="F1789" s="7" t="s">
        <v>4930</v>
      </c>
      <c r="G1789" s="7" t="s">
        <v>4931</v>
      </c>
      <c r="H1789" s="7" t="s">
        <v>4932</v>
      </c>
      <c r="I1789" s="9">
        <v>45307</v>
      </c>
    </row>
    <row r="1790" spans="1:9" x14ac:dyDescent="0.15">
      <c r="A1790" s="6">
        <v>1789</v>
      </c>
      <c r="B1790" s="7" t="s">
        <v>9</v>
      </c>
      <c r="C1790" s="8">
        <v>1883</v>
      </c>
      <c r="D1790" s="9">
        <v>45395</v>
      </c>
      <c r="E1790" s="13" t="str">
        <f>+HYPERLINK("http://trademark.i-assist.jp/data/china/image_1883th/76421123.pdf","76421123")</f>
        <v>76421123</v>
      </c>
      <c r="F1790" s="7" t="s">
        <v>4933</v>
      </c>
      <c r="G1790" s="7" t="s">
        <v>4934</v>
      </c>
      <c r="H1790" s="7" t="s">
        <v>4935</v>
      </c>
      <c r="I1790" s="9">
        <v>45307</v>
      </c>
    </row>
    <row r="1791" spans="1:9" x14ac:dyDescent="0.15">
      <c r="A1791" s="6">
        <v>1790</v>
      </c>
      <c r="B1791" s="7" t="s">
        <v>9</v>
      </c>
      <c r="C1791" s="8">
        <v>1883</v>
      </c>
      <c r="D1791" s="9">
        <v>45395</v>
      </c>
      <c r="E1791" s="13" t="str">
        <f>+HYPERLINK("http://trademark.i-assist.jp/data/china/image_1883th/76421137.pdf","76421137")</f>
        <v>76421137</v>
      </c>
      <c r="F1791" s="7" t="s">
        <v>4936</v>
      </c>
      <c r="G1791" s="7" t="s">
        <v>4934</v>
      </c>
      <c r="H1791" s="7" t="s">
        <v>4937</v>
      </c>
      <c r="I1791" s="9">
        <v>45307</v>
      </c>
    </row>
    <row r="1792" spans="1:9" ht="27" x14ac:dyDescent="0.15">
      <c r="A1792" s="6">
        <v>1791</v>
      </c>
      <c r="B1792" s="7" t="s">
        <v>9</v>
      </c>
      <c r="C1792" s="8">
        <v>1883</v>
      </c>
      <c r="D1792" s="9">
        <v>45395</v>
      </c>
      <c r="E1792" s="13" t="str">
        <f>+HYPERLINK("http://trademark.i-assist.jp/data/china/image_1883th/76421138.pdf","76421138")</f>
        <v>76421138</v>
      </c>
      <c r="F1792" s="7" t="s">
        <v>4938</v>
      </c>
      <c r="G1792" s="7" t="s">
        <v>4939</v>
      </c>
      <c r="H1792" s="7" t="s">
        <v>4940</v>
      </c>
      <c r="I1792" s="9">
        <v>45307</v>
      </c>
    </row>
    <row r="1793" spans="1:9" x14ac:dyDescent="0.15">
      <c r="A1793" s="6">
        <v>1792</v>
      </c>
      <c r="B1793" s="7" t="s">
        <v>9</v>
      </c>
      <c r="C1793" s="8">
        <v>1883</v>
      </c>
      <c r="D1793" s="9">
        <v>45395</v>
      </c>
      <c r="E1793" s="13" t="str">
        <f>+HYPERLINK("http://trademark.i-assist.jp/data/china/image_1883th/76421482.pdf","76421482")</f>
        <v>76421482</v>
      </c>
      <c r="F1793" s="7" t="s">
        <v>4941</v>
      </c>
      <c r="G1793" s="7" t="s">
        <v>4942</v>
      </c>
      <c r="H1793" s="7" t="s">
        <v>4943</v>
      </c>
      <c r="I1793" s="9">
        <v>45307</v>
      </c>
    </row>
    <row r="1794" spans="1:9" ht="27" x14ac:dyDescent="0.15">
      <c r="A1794" s="6">
        <v>1793</v>
      </c>
      <c r="B1794" s="7" t="s">
        <v>9</v>
      </c>
      <c r="C1794" s="8">
        <v>1883</v>
      </c>
      <c r="D1794" s="9">
        <v>45395</v>
      </c>
      <c r="E1794" s="13" t="str">
        <f>+HYPERLINK("http://trademark.i-assist.jp/data/china/image_1883th/76421583.pdf","76421583")</f>
        <v>76421583</v>
      </c>
      <c r="F1794" s="7" t="s">
        <v>4859</v>
      </c>
      <c r="G1794" s="7" t="s">
        <v>4860</v>
      </c>
      <c r="H1794" s="7" t="s">
        <v>4944</v>
      </c>
      <c r="I1794" s="9">
        <v>45307</v>
      </c>
    </row>
    <row r="1795" spans="1:9" x14ac:dyDescent="0.15">
      <c r="A1795" s="6">
        <v>1794</v>
      </c>
      <c r="B1795" s="7" t="s">
        <v>9</v>
      </c>
      <c r="C1795" s="8">
        <v>1883</v>
      </c>
      <c r="D1795" s="9">
        <v>45395</v>
      </c>
      <c r="E1795" s="13" t="str">
        <f>+HYPERLINK("http://trademark.i-assist.jp/data/china/image_1883th/76421738.pdf","76421738")</f>
        <v>76421738</v>
      </c>
      <c r="F1795" s="7" t="s">
        <v>4945</v>
      </c>
      <c r="G1795" s="7" t="s">
        <v>4946</v>
      </c>
      <c r="H1795" s="7" t="s">
        <v>4947</v>
      </c>
      <c r="I1795" s="9">
        <v>45307</v>
      </c>
    </row>
    <row r="1796" spans="1:9" x14ac:dyDescent="0.15">
      <c r="A1796" s="6">
        <v>1795</v>
      </c>
      <c r="B1796" s="7" t="s">
        <v>9</v>
      </c>
      <c r="C1796" s="8">
        <v>1883</v>
      </c>
      <c r="D1796" s="9">
        <v>45395</v>
      </c>
      <c r="E1796" s="13" t="str">
        <f>+HYPERLINK("http://trademark.i-assist.jp/data/china/image_1883th/76421780.pdf","76421780")</f>
        <v>76421780</v>
      </c>
      <c r="F1796" s="7" t="s">
        <v>4948</v>
      </c>
      <c r="G1796" s="7" t="s">
        <v>4949</v>
      </c>
      <c r="H1796" s="7" t="s">
        <v>4950</v>
      </c>
      <c r="I1796" s="9">
        <v>45307</v>
      </c>
    </row>
    <row r="1797" spans="1:9" x14ac:dyDescent="0.15">
      <c r="A1797" s="6">
        <v>1796</v>
      </c>
      <c r="B1797" s="7" t="s">
        <v>9</v>
      </c>
      <c r="C1797" s="8">
        <v>1883</v>
      </c>
      <c r="D1797" s="9">
        <v>45395</v>
      </c>
      <c r="E1797" s="13" t="str">
        <f>+HYPERLINK("http://trademark.i-assist.jp/data/china/image_1883th/76422154.pdf","76422154")</f>
        <v>76422154</v>
      </c>
      <c r="F1797" s="7" t="s">
        <v>4951</v>
      </c>
      <c r="G1797" s="7" t="s">
        <v>4952</v>
      </c>
      <c r="H1797" s="7" t="s">
        <v>4953</v>
      </c>
      <c r="I1797" s="9">
        <v>45307</v>
      </c>
    </row>
    <row r="1798" spans="1:9" x14ac:dyDescent="0.15">
      <c r="A1798" s="6">
        <v>1797</v>
      </c>
      <c r="B1798" s="7" t="s">
        <v>9</v>
      </c>
      <c r="C1798" s="8">
        <v>1883</v>
      </c>
      <c r="D1798" s="9">
        <v>45395</v>
      </c>
      <c r="E1798" s="13" t="str">
        <f>+HYPERLINK("http://trademark.i-assist.jp/data/china/image_1883th/76422177.pdf","76422177")</f>
        <v>76422177</v>
      </c>
      <c r="F1798" s="7" t="s">
        <v>4954</v>
      </c>
      <c r="G1798" s="7" t="s">
        <v>4955</v>
      </c>
      <c r="H1798" s="7" t="s">
        <v>4956</v>
      </c>
      <c r="I1798" s="9">
        <v>45307</v>
      </c>
    </row>
    <row r="1799" spans="1:9" x14ac:dyDescent="0.15">
      <c r="A1799" s="6">
        <v>1798</v>
      </c>
      <c r="B1799" s="7" t="s">
        <v>9</v>
      </c>
      <c r="C1799" s="8">
        <v>1883</v>
      </c>
      <c r="D1799" s="9">
        <v>45395</v>
      </c>
      <c r="E1799" s="13" t="str">
        <f>+HYPERLINK("http://trademark.i-assist.jp/data/china/image_1883th/76422506.pdf","76422506")</f>
        <v>76422506</v>
      </c>
      <c r="F1799" s="7" t="s">
        <v>4957</v>
      </c>
      <c r="G1799" s="7" t="s">
        <v>4466</v>
      </c>
      <c r="H1799" s="7" t="s">
        <v>4958</v>
      </c>
      <c r="I1799" s="9">
        <v>45307</v>
      </c>
    </row>
    <row r="1800" spans="1:9" x14ac:dyDescent="0.15">
      <c r="A1800" s="6">
        <v>1799</v>
      </c>
      <c r="B1800" s="7" t="s">
        <v>9</v>
      </c>
      <c r="C1800" s="8">
        <v>1883</v>
      </c>
      <c r="D1800" s="9">
        <v>45395</v>
      </c>
      <c r="E1800" s="13" t="str">
        <f>+HYPERLINK("http://trademark.i-assist.jp/data/china/image_1883th/76422721.pdf","76422721")</f>
        <v>76422721</v>
      </c>
      <c r="F1800" s="7" t="s">
        <v>4959</v>
      </c>
      <c r="G1800" s="7" t="s">
        <v>4608</v>
      </c>
      <c r="H1800" s="7" t="s">
        <v>4960</v>
      </c>
      <c r="I1800" s="9">
        <v>45307</v>
      </c>
    </row>
    <row r="1801" spans="1:9" ht="27" x14ac:dyDescent="0.15">
      <c r="A1801" s="6">
        <v>1800</v>
      </c>
      <c r="B1801" s="7" t="s">
        <v>9</v>
      </c>
      <c r="C1801" s="8">
        <v>1883</v>
      </c>
      <c r="D1801" s="9">
        <v>45395</v>
      </c>
      <c r="E1801" s="13" t="str">
        <f>+HYPERLINK("http://trademark.i-assist.jp/data/china/image_1883th/76422722.pdf","76422722")</f>
        <v>76422722</v>
      </c>
      <c r="F1801" s="7" t="s">
        <v>4961</v>
      </c>
      <c r="G1801" s="7" t="s">
        <v>4962</v>
      </c>
      <c r="H1801" s="7" t="s">
        <v>4963</v>
      </c>
      <c r="I1801" s="9">
        <v>45307</v>
      </c>
    </row>
    <row r="1802" spans="1:9" ht="27" x14ac:dyDescent="0.15">
      <c r="A1802" s="6">
        <v>1801</v>
      </c>
      <c r="B1802" s="7" t="s">
        <v>9</v>
      </c>
      <c r="C1802" s="8">
        <v>1883</v>
      </c>
      <c r="D1802" s="9">
        <v>45395</v>
      </c>
      <c r="E1802" s="13" t="str">
        <f>+HYPERLINK("http://trademark.i-assist.jp/data/china/image_1883th/76422804.pdf","76422804")</f>
        <v>76422804</v>
      </c>
      <c r="F1802" s="7" t="s">
        <v>4964</v>
      </c>
      <c r="G1802" s="7" t="s">
        <v>4783</v>
      </c>
      <c r="H1802" s="7" t="s">
        <v>4965</v>
      </c>
      <c r="I1802" s="9">
        <v>45307</v>
      </c>
    </row>
    <row r="1803" spans="1:9" ht="27" x14ac:dyDescent="0.15">
      <c r="A1803" s="6">
        <v>1802</v>
      </c>
      <c r="B1803" s="7" t="s">
        <v>9</v>
      </c>
      <c r="C1803" s="8">
        <v>1883</v>
      </c>
      <c r="D1803" s="9">
        <v>45395</v>
      </c>
      <c r="E1803" s="13" t="str">
        <f>+HYPERLINK("http://trademark.i-assist.jp/data/china/image_1883th/76422819.pdf","76422819")</f>
        <v>76422819</v>
      </c>
      <c r="F1803" s="7" t="s">
        <v>4966</v>
      </c>
      <c r="G1803" s="7" t="s">
        <v>4967</v>
      </c>
      <c r="H1803" s="7" t="s">
        <v>4968</v>
      </c>
      <c r="I1803" s="9">
        <v>45307</v>
      </c>
    </row>
    <row r="1804" spans="1:9" x14ac:dyDescent="0.15">
      <c r="A1804" s="6">
        <v>1803</v>
      </c>
      <c r="B1804" s="7" t="s">
        <v>9</v>
      </c>
      <c r="C1804" s="8">
        <v>1883</v>
      </c>
      <c r="D1804" s="9">
        <v>45395</v>
      </c>
      <c r="E1804" s="13" t="str">
        <f>+HYPERLINK("http://trademark.i-assist.jp/data/china/image_1883th/76422836.pdf","76422836")</f>
        <v>76422836</v>
      </c>
      <c r="F1804" s="7" t="s">
        <v>4969</v>
      </c>
      <c r="G1804" s="7" t="s">
        <v>4970</v>
      </c>
      <c r="H1804" s="7" t="s">
        <v>4971</v>
      </c>
      <c r="I1804" s="9">
        <v>45307</v>
      </c>
    </row>
    <row r="1805" spans="1:9" ht="27" x14ac:dyDescent="0.15">
      <c r="A1805" s="6">
        <v>1804</v>
      </c>
      <c r="B1805" s="7" t="s">
        <v>9</v>
      </c>
      <c r="C1805" s="8">
        <v>1883</v>
      </c>
      <c r="D1805" s="9">
        <v>45395</v>
      </c>
      <c r="E1805" s="13" t="str">
        <f>+HYPERLINK("http://trademark.i-assist.jp/data/china/image_1883th/76422896.pdf","76422896")</f>
        <v>76422896</v>
      </c>
      <c r="F1805" s="7" t="s">
        <v>57</v>
      </c>
      <c r="G1805" s="7" t="s">
        <v>4481</v>
      </c>
      <c r="H1805" s="7" t="s">
        <v>4972</v>
      </c>
      <c r="I1805" s="9">
        <v>45307</v>
      </c>
    </row>
    <row r="1806" spans="1:9" x14ac:dyDescent="0.15">
      <c r="A1806" s="6">
        <v>1805</v>
      </c>
      <c r="B1806" s="7" t="s">
        <v>9</v>
      </c>
      <c r="C1806" s="8">
        <v>1883</v>
      </c>
      <c r="D1806" s="9">
        <v>45395</v>
      </c>
      <c r="E1806" s="13" t="str">
        <f>+HYPERLINK("http://trademark.i-assist.jp/data/china/image_1883th/76422962.pdf","76422962")</f>
        <v>76422962</v>
      </c>
      <c r="F1806" s="7" t="s">
        <v>4973</v>
      </c>
      <c r="G1806" s="7" t="s">
        <v>4528</v>
      </c>
      <c r="H1806" s="7" t="s">
        <v>4974</v>
      </c>
      <c r="I1806" s="9">
        <v>45307</v>
      </c>
    </row>
    <row r="1807" spans="1:9" x14ac:dyDescent="0.15">
      <c r="A1807" s="6">
        <v>1806</v>
      </c>
      <c r="B1807" s="7" t="s">
        <v>9</v>
      </c>
      <c r="C1807" s="8">
        <v>1883</v>
      </c>
      <c r="D1807" s="9">
        <v>45395</v>
      </c>
      <c r="E1807" s="13" t="str">
        <f>+HYPERLINK("http://trademark.i-assist.jp/data/china/image_1883th/76423039.pdf","76423039")</f>
        <v>76423039</v>
      </c>
      <c r="F1807" s="7" t="s">
        <v>4975</v>
      </c>
      <c r="G1807" s="7" t="s">
        <v>4566</v>
      </c>
      <c r="H1807" s="7" t="s">
        <v>4976</v>
      </c>
      <c r="I1807" s="9">
        <v>45307</v>
      </c>
    </row>
    <row r="1808" spans="1:9" ht="27" x14ac:dyDescent="0.15">
      <c r="A1808" s="6">
        <v>1807</v>
      </c>
      <c r="B1808" s="7" t="s">
        <v>9</v>
      </c>
      <c r="C1808" s="8">
        <v>1883</v>
      </c>
      <c r="D1808" s="9">
        <v>45395</v>
      </c>
      <c r="E1808" s="13" t="str">
        <f>+HYPERLINK("http://trademark.i-assist.jp/data/china/image_1883th/76423079.pdf","76423079")</f>
        <v>76423079</v>
      </c>
      <c r="F1808" s="7" t="s">
        <v>4977</v>
      </c>
      <c r="G1808" s="7" t="s">
        <v>4978</v>
      </c>
      <c r="H1808" s="7" t="s">
        <v>4979</v>
      </c>
      <c r="I1808" s="9">
        <v>45307</v>
      </c>
    </row>
    <row r="1809" spans="1:9" ht="27" x14ac:dyDescent="0.15">
      <c r="A1809" s="6">
        <v>1808</v>
      </c>
      <c r="B1809" s="7" t="s">
        <v>9</v>
      </c>
      <c r="C1809" s="8">
        <v>1883</v>
      </c>
      <c r="D1809" s="9">
        <v>45395</v>
      </c>
      <c r="E1809" s="13" t="str">
        <f>+HYPERLINK("http://trademark.i-assist.jp/data/china/image_1883th/76423247.pdf","76423247")</f>
        <v>76423247</v>
      </c>
      <c r="F1809" s="7" t="s">
        <v>4980</v>
      </c>
      <c r="G1809" s="7" t="s">
        <v>4981</v>
      </c>
      <c r="H1809" s="7" t="s">
        <v>4982</v>
      </c>
      <c r="I1809" s="9">
        <v>45307</v>
      </c>
    </row>
    <row r="1810" spans="1:9" x14ac:dyDescent="0.15">
      <c r="A1810" s="6">
        <v>1809</v>
      </c>
      <c r="B1810" s="7" t="s">
        <v>9</v>
      </c>
      <c r="C1810" s="8">
        <v>1883</v>
      </c>
      <c r="D1810" s="9">
        <v>45395</v>
      </c>
      <c r="E1810" s="13" t="str">
        <f>+HYPERLINK("http://trademark.i-assist.jp/data/china/image_1883th/76423303.pdf","76423303")</f>
        <v>76423303</v>
      </c>
      <c r="F1810" s="7" t="s">
        <v>4983</v>
      </c>
      <c r="G1810" s="7" t="s">
        <v>4984</v>
      </c>
      <c r="H1810" s="7" t="s">
        <v>4985</v>
      </c>
      <c r="I1810" s="9">
        <v>45307</v>
      </c>
    </row>
    <row r="1811" spans="1:9" x14ac:dyDescent="0.15">
      <c r="A1811" s="6">
        <v>1810</v>
      </c>
      <c r="B1811" s="7" t="s">
        <v>9</v>
      </c>
      <c r="C1811" s="8">
        <v>1883</v>
      </c>
      <c r="D1811" s="9">
        <v>45395</v>
      </c>
      <c r="E1811" s="13" t="str">
        <f>+HYPERLINK("http://trademark.i-assist.jp/data/china/image_1883th/76423313.pdf","76423313")</f>
        <v>76423313</v>
      </c>
      <c r="F1811" s="7" t="s">
        <v>4986</v>
      </c>
      <c r="G1811" s="7" t="s">
        <v>4987</v>
      </c>
      <c r="H1811" s="7" t="s">
        <v>4988</v>
      </c>
      <c r="I1811" s="9">
        <v>45307</v>
      </c>
    </row>
    <row r="1812" spans="1:9" x14ac:dyDescent="0.15">
      <c r="A1812" s="6">
        <v>1811</v>
      </c>
      <c r="B1812" s="7" t="s">
        <v>9</v>
      </c>
      <c r="C1812" s="8">
        <v>1883</v>
      </c>
      <c r="D1812" s="9">
        <v>45395</v>
      </c>
      <c r="E1812" s="13" t="str">
        <f>+HYPERLINK("http://trademark.i-assist.jp/data/china/image_1883th/76423852.pdf","76423852")</f>
        <v>76423852</v>
      </c>
      <c r="F1812" s="7" t="s">
        <v>4989</v>
      </c>
      <c r="G1812" s="7" t="s">
        <v>4990</v>
      </c>
      <c r="H1812" s="7" t="s">
        <v>4991</v>
      </c>
      <c r="I1812" s="9">
        <v>45307</v>
      </c>
    </row>
    <row r="1813" spans="1:9" x14ac:dyDescent="0.15">
      <c r="A1813" s="6">
        <v>1812</v>
      </c>
      <c r="B1813" s="7" t="s">
        <v>9</v>
      </c>
      <c r="C1813" s="8">
        <v>1883</v>
      </c>
      <c r="D1813" s="9">
        <v>45395</v>
      </c>
      <c r="E1813" s="13" t="str">
        <f>+HYPERLINK("http://trademark.i-assist.jp/data/china/image_1883th/76423881.pdf","76423881")</f>
        <v>76423881</v>
      </c>
      <c r="F1813" s="7" t="s">
        <v>4992</v>
      </c>
      <c r="G1813" s="7" t="s">
        <v>4993</v>
      </c>
      <c r="H1813" s="7" t="s">
        <v>4994</v>
      </c>
      <c r="I1813" s="9">
        <v>45307</v>
      </c>
    </row>
    <row r="1814" spans="1:9" x14ac:dyDescent="0.15">
      <c r="A1814" s="6">
        <v>1813</v>
      </c>
      <c r="B1814" s="7" t="s">
        <v>9</v>
      </c>
      <c r="C1814" s="8">
        <v>1883</v>
      </c>
      <c r="D1814" s="9">
        <v>45395</v>
      </c>
      <c r="E1814" s="13" t="str">
        <f>+HYPERLINK("http://trademark.i-assist.jp/data/china/image_1883th/76424004.pdf","76424004")</f>
        <v>76424004</v>
      </c>
      <c r="F1814" s="7" t="s">
        <v>4995</v>
      </c>
      <c r="G1814" s="7" t="s">
        <v>4996</v>
      </c>
      <c r="H1814" s="7" t="s">
        <v>4997</v>
      </c>
      <c r="I1814" s="9">
        <v>45307</v>
      </c>
    </row>
    <row r="1815" spans="1:9" x14ac:dyDescent="0.15">
      <c r="A1815" s="6">
        <v>1814</v>
      </c>
      <c r="B1815" s="7" t="s">
        <v>9</v>
      </c>
      <c r="C1815" s="8">
        <v>1883</v>
      </c>
      <c r="D1815" s="9">
        <v>45395</v>
      </c>
      <c r="E1815" s="13" t="str">
        <f>+HYPERLINK("http://trademark.i-assist.jp/data/china/image_1883th/76424180.pdf","76424180")</f>
        <v>76424180</v>
      </c>
      <c r="F1815" s="7" t="s">
        <v>4998</v>
      </c>
      <c r="G1815" s="7" t="s">
        <v>4999</v>
      </c>
      <c r="H1815" s="7" t="s">
        <v>5000</v>
      </c>
      <c r="I1815" s="9">
        <v>45307</v>
      </c>
    </row>
    <row r="1816" spans="1:9" x14ac:dyDescent="0.15">
      <c r="A1816" s="6">
        <v>1815</v>
      </c>
      <c r="B1816" s="7" t="s">
        <v>9</v>
      </c>
      <c r="C1816" s="8">
        <v>1883</v>
      </c>
      <c r="D1816" s="9">
        <v>45395</v>
      </c>
      <c r="E1816" s="13" t="str">
        <f>+HYPERLINK("http://trademark.i-assist.jp/data/china/image_1883th/76424187.pdf","76424187")</f>
        <v>76424187</v>
      </c>
      <c r="F1816" s="7" t="s">
        <v>5001</v>
      </c>
      <c r="G1816" s="7" t="s">
        <v>5002</v>
      </c>
      <c r="H1816" s="7" t="s">
        <v>5003</v>
      </c>
      <c r="I1816" s="9">
        <v>45307</v>
      </c>
    </row>
    <row r="1817" spans="1:9" x14ac:dyDescent="0.15">
      <c r="A1817" s="6">
        <v>1816</v>
      </c>
      <c r="B1817" s="7" t="s">
        <v>9</v>
      </c>
      <c r="C1817" s="8">
        <v>1883</v>
      </c>
      <c r="D1817" s="9">
        <v>45395</v>
      </c>
      <c r="E1817" s="13" t="str">
        <f>+HYPERLINK("http://trademark.i-assist.jp/data/china/image_1883th/76424289.pdf","76424289")</f>
        <v>76424289</v>
      </c>
      <c r="F1817" s="7" t="s">
        <v>5004</v>
      </c>
      <c r="G1817" s="7" t="s">
        <v>5005</v>
      </c>
      <c r="H1817" s="7" t="s">
        <v>5006</v>
      </c>
      <c r="I1817" s="9">
        <v>45307</v>
      </c>
    </row>
    <row r="1818" spans="1:9" x14ac:dyDescent="0.15">
      <c r="A1818" s="6">
        <v>1817</v>
      </c>
      <c r="B1818" s="7" t="s">
        <v>9</v>
      </c>
      <c r="C1818" s="8">
        <v>1883</v>
      </c>
      <c r="D1818" s="9">
        <v>45395</v>
      </c>
      <c r="E1818" s="13" t="str">
        <f>+HYPERLINK("http://trademark.i-assist.jp/data/china/image_1883th/76424488.pdf","76424488")</f>
        <v>76424488</v>
      </c>
      <c r="F1818" s="7" t="s">
        <v>5007</v>
      </c>
      <c r="G1818" s="7" t="s">
        <v>5008</v>
      </c>
      <c r="H1818" s="7" t="s">
        <v>5009</v>
      </c>
      <c r="I1818" s="9">
        <v>45307</v>
      </c>
    </row>
    <row r="1819" spans="1:9" ht="27" x14ac:dyDescent="0.15">
      <c r="A1819" s="6">
        <v>1818</v>
      </c>
      <c r="B1819" s="7" t="s">
        <v>9</v>
      </c>
      <c r="C1819" s="8">
        <v>1883</v>
      </c>
      <c r="D1819" s="9">
        <v>45395</v>
      </c>
      <c r="E1819" s="13" t="str">
        <f>+HYPERLINK("http://trademark.i-assist.jp/data/china/image_1883th/76424623.pdf","76424623")</f>
        <v>76424623</v>
      </c>
      <c r="F1819" s="7" t="s">
        <v>5010</v>
      </c>
      <c r="G1819" s="7" t="s">
        <v>5011</v>
      </c>
      <c r="H1819" s="7" t="s">
        <v>5012</v>
      </c>
      <c r="I1819" s="9">
        <v>45307</v>
      </c>
    </row>
    <row r="1820" spans="1:9" x14ac:dyDescent="0.15">
      <c r="A1820" s="6">
        <v>1819</v>
      </c>
      <c r="B1820" s="7" t="s">
        <v>9</v>
      </c>
      <c r="C1820" s="8">
        <v>1883</v>
      </c>
      <c r="D1820" s="9">
        <v>45395</v>
      </c>
      <c r="E1820" s="13" t="str">
        <f>+HYPERLINK("http://trademark.i-assist.jp/data/china/image_1883th/76424681.pdf","76424681")</f>
        <v>76424681</v>
      </c>
      <c r="F1820" s="7" t="s">
        <v>5013</v>
      </c>
      <c r="G1820" s="7" t="s">
        <v>3930</v>
      </c>
      <c r="H1820" s="7" t="s">
        <v>5014</v>
      </c>
      <c r="I1820" s="9">
        <v>45307</v>
      </c>
    </row>
    <row r="1821" spans="1:9" x14ac:dyDescent="0.15">
      <c r="A1821" s="6">
        <v>1820</v>
      </c>
      <c r="B1821" s="7" t="s">
        <v>9</v>
      </c>
      <c r="C1821" s="8">
        <v>1883</v>
      </c>
      <c r="D1821" s="9">
        <v>45395</v>
      </c>
      <c r="E1821" s="13" t="str">
        <f>+HYPERLINK("http://trademark.i-assist.jp/data/china/image_1883th/76424872.pdf","76424872")</f>
        <v>76424872</v>
      </c>
      <c r="F1821" s="7" t="s">
        <v>5015</v>
      </c>
      <c r="G1821" s="7" t="s">
        <v>5008</v>
      </c>
      <c r="H1821" s="7" t="s">
        <v>5016</v>
      </c>
      <c r="I1821" s="9">
        <v>45307</v>
      </c>
    </row>
    <row r="1822" spans="1:9" x14ac:dyDescent="0.15">
      <c r="A1822" s="6">
        <v>1821</v>
      </c>
      <c r="B1822" s="7" t="s">
        <v>9</v>
      </c>
      <c r="C1822" s="8">
        <v>1883</v>
      </c>
      <c r="D1822" s="9">
        <v>45395</v>
      </c>
      <c r="E1822" s="13" t="str">
        <f>+HYPERLINK("http://trademark.i-assist.jp/data/china/image_1883th/76424923.pdf","76424923")</f>
        <v>76424923</v>
      </c>
      <c r="F1822" s="7" t="s">
        <v>5017</v>
      </c>
      <c r="G1822" s="7" t="s">
        <v>4566</v>
      </c>
      <c r="H1822" s="7" t="s">
        <v>5018</v>
      </c>
      <c r="I1822" s="9">
        <v>45307</v>
      </c>
    </row>
    <row r="1823" spans="1:9" x14ac:dyDescent="0.15">
      <c r="A1823" s="6">
        <v>1822</v>
      </c>
      <c r="B1823" s="7" t="s">
        <v>9</v>
      </c>
      <c r="C1823" s="8">
        <v>1883</v>
      </c>
      <c r="D1823" s="9">
        <v>45395</v>
      </c>
      <c r="E1823" s="13" t="str">
        <f>+HYPERLINK("http://trademark.i-assist.jp/data/china/image_1883th/76424993.pdf","76424993")</f>
        <v>76424993</v>
      </c>
      <c r="F1823" s="7" t="s">
        <v>5019</v>
      </c>
      <c r="G1823" s="7" t="s">
        <v>4874</v>
      </c>
      <c r="H1823" s="7" t="s">
        <v>5020</v>
      </c>
      <c r="I1823" s="9">
        <v>45307</v>
      </c>
    </row>
    <row r="1824" spans="1:9" x14ac:dyDescent="0.15">
      <c r="A1824" s="6">
        <v>1823</v>
      </c>
      <c r="B1824" s="7" t="s">
        <v>9</v>
      </c>
      <c r="C1824" s="8">
        <v>1883</v>
      </c>
      <c r="D1824" s="9">
        <v>45395</v>
      </c>
      <c r="E1824" s="13" t="str">
        <f>+HYPERLINK("http://trademark.i-assist.jp/data/china/image_1883th/76425147.pdf","76425147")</f>
        <v>76425147</v>
      </c>
      <c r="F1824" s="7" t="s">
        <v>5021</v>
      </c>
      <c r="G1824" s="7" t="s">
        <v>5022</v>
      </c>
      <c r="H1824" s="7" t="s">
        <v>5023</v>
      </c>
      <c r="I1824" s="9">
        <v>45307</v>
      </c>
    </row>
    <row r="1825" spans="1:9" x14ac:dyDescent="0.15">
      <c r="A1825" s="6">
        <v>1824</v>
      </c>
      <c r="B1825" s="7" t="s">
        <v>9</v>
      </c>
      <c r="C1825" s="8">
        <v>1883</v>
      </c>
      <c r="D1825" s="9">
        <v>45395</v>
      </c>
      <c r="E1825" s="13" t="str">
        <f>+HYPERLINK("http://trademark.i-assist.jp/data/china/image_1883th/76425220.pdf","76425220")</f>
        <v>76425220</v>
      </c>
      <c r="F1825" s="7" t="s">
        <v>5024</v>
      </c>
      <c r="G1825" s="7" t="s">
        <v>5025</v>
      </c>
      <c r="H1825" s="7" t="s">
        <v>5026</v>
      </c>
      <c r="I1825" s="9">
        <v>45307</v>
      </c>
    </row>
    <row r="1826" spans="1:9" ht="27" x14ac:dyDescent="0.15">
      <c r="A1826" s="6">
        <v>1825</v>
      </c>
      <c r="B1826" s="7" t="s">
        <v>9</v>
      </c>
      <c r="C1826" s="8">
        <v>1883</v>
      </c>
      <c r="D1826" s="9">
        <v>45395</v>
      </c>
      <c r="E1826" s="13" t="str">
        <f>+HYPERLINK("http://trademark.i-assist.jp/data/china/image_1883th/76425233.pdf","76425233")</f>
        <v>76425233</v>
      </c>
      <c r="F1826" s="7" t="s">
        <v>5027</v>
      </c>
      <c r="G1826" s="7" t="s">
        <v>5028</v>
      </c>
      <c r="H1826" s="7" t="s">
        <v>5029</v>
      </c>
      <c r="I1826" s="9">
        <v>45307</v>
      </c>
    </row>
    <row r="1827" spans="1:9" x14ac:dyDescent="0.15">
      <c r="A1827" s="6">
        <v>1826</v>
      </c>
      <c r="B1827" s="7" t="s">
        <v>9</v>
      </c>
      <c r="C1827" s="8">
        <v>1883</v>
      </c>
      <c r="D1827" s="9">
        <v>45395</v>
      </c>
      <c r="E1827" s="13" t="str">
        <f>+HYPERLINK("http://trademark.i-assist.jp/data/china/image_1883th/76425318.pdf","76425318")</f>
        <v>76425318</v>
      </c>
      <c r="F1827" s="7" t="s">
        <v>5030</v>
      </c>
      <c r="G1827" s="7" t="s">
        <v>5031</v>
      </c>
      <c r="H1827" s="7" t="s">
        <v>5032</v>
      </c>
      <c r="I1827" s="9">
        <v>45307</v>
      </c>
    </row>
    <row r="1828" spans="1:9" x14ac:dyDescent="0.15">
      <c r="A1828" s="6">
        <v>1827</v>
      </c>
      <c r="B1828" s="7" t="s">
        <v>9</v>
      </c>
      <c r="C1828" s="8">
        <v>1883</v>
      </c>
      <c r="D1828" s="9">
        <v>45395</v>
      </c>
      <c r="E1828" s="13" t="str">
        <f>+HYPERLINK("http://trademark.i-assist.jp/data/china/image_1883th/76425427.pdf","76425427")</f>
        <v>76425427</v>
      </c>
      <c r="F1828" s="7" t="s">
        <v>5033</v>
      </c>
      <c r="G1828" s="7" t="s">
        <v>5034</v>
      </c>
      <c r="H1828" s="7" t="s">
        <v>5035</v>
      </c>
      <c r="I1828" s="9">
        <v>45307</v>
      </c>
    </row>
    <row r="1829" spans="1:9" x14ac:dyDescent="0.15">
      <c r="A1829" s="6">
        <v>1828</v>
      </c>
      <c r="B1829" s="7" t="s">
        <v>9</v>
      </c>
      <c r="C1829" s="8">
        <v>1883</v>
      </c>
      <c r="D1829" s="9">
        <v>45395</v>
      </c>
      <c r="E1829" s="13" t="str">
        <f>+HYPERLINK("http://trademark.i-assist.jp/data/china/image_1883th/76425466.pdf","76425466")</f>
        <v>76425466</v>
      </c>
      <c r="F1829" s="7" t="s">
        <v>5036</v>
      </c>
      <c r="G1829" s="7" t="s">
        <v>5037</v>
      </c>
      <c r="H1829" s="7" t="s">
        <v>5038</v>
      </c>
      <c r="I1829" s="9">
        <v>45307</v>
      </c>
    </row>
    <row r="1830" spans="1:9" x14ac:dyDescent="0.15">
      <c r="A1830" s="6">
        <v>1829</v>
      </c>
      <c r="B1830" s="7" t="s">
        <v>9</v>
      </c>
      <c r="C1830" s="8">
        <v>1883</v>
      </c>
      <c r="D1830" s="9">
        <v>45395</v>
      </c>
      <c r="E1830" s="13" t="str">
        <f>+HYPERLINK("http://trademark.i-assist.jp/data/china/image_1883th/76425544.pdf","76425544")</f>
        <v>76425544</v>
      </c>
      <c r="F1830" s="7" t="s">
        <v>5039</v>
      </c>
      <c r="G1830" s="7" t="s">
        <v>5040</v>
      </c>
      <c r="H1830" s="7" t="s">
        <v>5041</v>
      </c>
      <c r="I1830" s="9">
        <v>45307</v>
      </c>
    </row>
    <row r="1831" spans="1:9" x14ac:dyDescent="0.15">
      <c r="A1831" s="6">
        <v>1830</v>
      </c>
      <c r="B1831" s="7" t="s">
        <v>9</v>
      </c>
      <c r="C1831" s="8">
        <v>1883</v>
      </c>
      <c r="D1831" s="9">
        <v>45395</v>
      </c>
      <c r="E1831" s="13" t="str">
        <f>+HYPERLINK("http://trademark.i-assist.jp/data/china/image_1883th/76425582.pdf","76425582")</f>
        <v>76425582</v>
      </c>
      <c r="F1831" s="7" t="s">
        <v>5042</v>
      </c>
      <c r="G1831" s="7" t="s">
        <v>5043</v>
      </c>
      <c r="H1831" s="7" t="s">
        <v>5044</v>
      </c>
      <c r="I1831" s="9">
        <v>45307</v>
      </c>
    </row>
    <row r="1832" spans="1:9" ht="27" x14ac:dyDescent="0.15">
      <c r="A1832" s="6">
        <v>1831</v>
      </c>
      <c r="B1832" s="7" t="s">
        <v>9</v>
      </c>
      <c r="C1832" s="8">
        <v>1883</v>
      </c>
      <c r="D1832" s="9">
        <v>45395</v>
      </c>
      <c r="E1832" s="13" t="str">
        <f>+HYPERLINK("http://trademark.i-assist.jp/data/china/image_1883th/76425604.pdf","76425604")</f>
        <v>76425604</v>
      </c>
      <c r="F1832" s="7" t="s">
        <v>5045</v>
      </c>
      <c r="G1832" s="7" t="s">
        <v>5046</v>
      </c>
      <c r="H1832" s="7" t="s">
        <v>5047</v>
      </c>
      <c r="I1832" s="9">
        <v>45307</v>
      </c>
    </row>
    <row r="1833" spans="1:9" x14ac:dyDescent="0.15">
      <c r="A1833" s="6">
        <v>1832</v>
      </c>
      <c r="B1833" s="7" t="s">
        <v>9</v>
      </c>
      <c r="C1833" s="8">
        <v>1883</v>
      </c>
      <c r="D1833" s="9">
        <v>45395</v>
      </c>
      <c r="E1833" s="13" t="str">
        <f>+HYPERLINK("http://trademark.i-assist.jp/data/china/image_1883th/76425674.pdf","76425674")</f>
        <v>76425674</v>
      </c>
      <c r="F1833" s="7" t="s">
        <v>5048</v>
      </c>
      <c r="G1833" s="7" t="s">
        <v>5049</v>
      </c>
      <c r="H1833" s="7" t="s">
        <v>5050</v>
      </c>
      <c r="I1833" s="9">
        <v>45307</v>
      </c>
    </row>
    <row r="1834" spans="1:9" ht="27" x14ac:dyDescent="0.15">
      <c r="A1834" s="6">
        <v>1833</v>
      </c>
      <c r="B1834" s="7" t="s">
        <v>9</v>
      </c>
      <c r="C1834" s="8">
        <v>1883</v>
      </c>
      <c r="D1834" s="9">
        <v>45395</v>
      </c>
      <c r="E1834" s="13" t="str">
        <f>+HYPERLINK("http://trademark.i-assist.jp/data/china/image_1883th/76425683.pdf","76425683")</f>
        <v>76425683</v>
      </c>
      <c r="F1834" s="7" t="s">
        <v>5051</v>
      </c>
      <c r="G1834" s="7" t="s">
        <v>5052</v>
      </c>
      <c r="H1834" s="7" t="s">
        <v>5053</v>
      </c>
      <c r="I1834" s="9">
        <v>45307</v>
      </c>
    </row>
    <row r="1835" spans="1:9" x14ac:dyDescent="0.15">
      <c r="A1835" s="6">
        <v>1834</v>
      </c>
      <c r="B1835" s="7" t="s">
        <v>9</v>
      </c>
      <c r="C1835" s="8">
        <v>1883</v>
      </c>
      <c r="D1835" s="9">
        <v>45395</v>
      </c>
      <c r="E1835" s="13" t="str">
        <f>+HYPERLINK("http://trademark.i-assist.jp/data/china/image_1883th/76425742.pdf","76425742")</f>
        <v>76425742</v>
      </c>
      <c r="F1835" s="7" t="s">
        <v>5054</v>
      </c>
      <c r="G1835" s="7" t="s">
        <v>5055</v>
      </c>
      <c r="H1835" s="7" t="s">
        <v>5056</v>
      </c>
      <c r="I1835" s="9">
        <v>45307</v>
      </c>
    </row>
    <row r="1836" spans="1:9" x14ac:dyDescent="0.15">
      <c r="A1836" s="6">
        <v>1835</v>
      </c>
      <c r="B1836" s="7" t="s">
        <v>9</v>
      </c>
      <c r="C1836" s="8">
        <v>1883</v>
      </c>
      <c r="D1836" s="9">
        <v>45395</v>
      </c>
      <c r="E1836" s="13" t="str">
        <f>+HYPERLINK("http://trademark.i-assist.jp/data/china/image_1883th/76425786.pdf","76425786")</f>
        <v>76425786</v>
      </c>
      <c r="F1836" s="7" t="s">
        <v>5057</v>
      </c>
      <c r="G1836" s="7" t="s">
        <v>5058</v>
      </c>
      <c r="H1836" s="7" t="s">
        <v>5059</v>
      </c>
      <c r="I1836" s="9">
        <v>45307</v>
      </c>
    </row>
    <row r="1837" spans="1:9" ht="27" x14ac:dyDescent="0.15">
      <c r="A1837" s="6">
        <v>1836</v>
      </c>
      <c r="B1837" s="7" t="s">
        <v>9</v>
      </c>
      <c r="C1837" s="8">
        <v>1883</v>
      </c>
      <c r="D1837" s="9">
        <v>45395</v>
      </c>
      <c r="E1837" s="13" t="str">
        <f>+HYPERLINK("http://trademark.i-assist.jp/data/china/image_1883th/76425790.pdf","76425790")</f>
        <v>76425790</v>
      </c>
      <c r="F1837" s="7" t="s">
        <v>5060</v>
      </c>
      <c r="G1837" s="7" t="s">
        <v>5061</v>
      </c>
      <c r="H1837" s="7" t="s">
        <v>5062</v>
      </c>
      <c r="I1837" s="9">
        <v>45307</v>
      </c>
    </row>
    <row r="1838" spans="1:9" ht="27" x14ac:dyDescent="0.15">
      <c r="A1838" s="6">
        <v>1837</v>
      </c>
      <c r="B1838" s="7" t="s">
        <v>9</v>
      </c>
      <c r="C1838" s="8">
        <v>1883</v>
      </c>
      <c r="D1838" s="9">
        <v>45395</v>
      </c>
      <c r="E1838" s="13" t="str">
        <f>+HYPERLINK("http://trademark.i-assist.jp/data/china/image_1883th/76425881.pdf","76425881")</f>
        <v>76425881</v>
      </c>
      <c r="F1838" s="7" t="s">
        <v>5063</v>
      </c>
      <c r="G1838" s="7" t="s">
        <v>5064</v>
      </c>
      <c r="H1838" s="7" t="s">
        <v>5065</v>
      </c>
      <c r="I1838" s="9">
        <v>45307</v>
      </c>
    </row>
    <row r="1839" spans="1:9" ht="27" x14ac:dyDescent="0.15">
      <c r="A1839" s="6">
        <v>1838</v>
      </c>
      <c r="B1839" s="7" t="s">
        <v>9</v>
      </c>
      <c r="C1839" s="8">
        <v>1883</v>
      </c>
      <c r="D1839" s="9">
        <v>45395</v>
      </c>
      <c r="E1839" s="13" t="str">
        <f>+HYPERLINK("http://trademark.i-assist.jp/data/china/image_1883th/76426087.pdf","76426087")</f>
        <v>76426087</v>
      </c>
      <c r="F1839" s="7" t="s">
        <v>5066</v>
      </c>
      <c r="G1839" s="7" t="s">
        <v>4608</v>
      </c>
      <c r="H1839" s="7" t="s">
        <v>5067</v>
      </c>
      <c r="I1839" s="9">
        <v>45307</v>
      </c>
    </row>
    <row r="1840" spans="1:9" x14ac:dyDescent="0.15">
      <c r="A1840" s="6">
        <v>1839</v>
      </c>
      <c r="B1840" s="7" t="s">
        <v>9</v>
      </c>
      <c r="C1840" s="8">
        <v>1883</v>
      </c>
      <c r="D1840" s="9">
        <v>45395</v>
      </c>
      <c r="E1840" s="13" t="str">
        <f>+HYPERLINK("http://trademark.i-assist.jp/data/china/image_1883th/76426143.pdf","76426143")</f>
        <v>76426143</v>
      </c>
      <c r="F1840" s="7" t="s">
        <v>57</v>
      </c>
      <c r="G1840" s="7" t="s">
        <v>5068</v>
      </c>
      <c r="H1840" s="7" t="s">
        <v>5069</v>
      </c>
      <c r="I1840" s="9">
        <v>45307</v>
      </c>
    </row>
    <row r="1841" spans="1:9" x14ac:dyDescent="0.15">
      <c r="A1841" s="6">
        <v>1840</v>
      </c>
      <c r="B1841" s="7" t="s">
        <v>9</v>
      </c>
      <c r="C1841" s="8">
        <v>1883</v>
      </c>
      <c r="D1841" s="9">
        <v>45395</v>
      </c>
      <c r="E1841" s="13" t="str">
        <f>+HYPERLINK("http://trademark.i-assist.jp/data/china/image_1883th/76426157.pdf","76426157")</f>
        <v>76426157</v>
      </c>
      <c r="F1841" s="7" t="s">
        <v>5070</v>
      </c>
      <c r="G1841" s="7" t="s">
        <v>5071</v>
      </c>
      <c r="H1841" s="7" t="s">
        <v>5072</v>
      </c>
      <c r="I1841" s="9">
        <v>45307</v>
      </c>
    </row>
    <row r="1842" spans="1:9" x14ac:dyDescent="0.15">
      <c r="A1842" s="6">
        <v>1841</v>
      </c>
      <c r="B1842" s="7" t="s">
        <v>9</v>
      </c>
      <c r="C1842" s="8">
        <v>1883</v>
      </c>
      <c r="D1842" s="9">
        <v>45395</v>
      </c>
      <c r="E1842" s="13" t="str">
        <f>+HYPERLINK("http://trademark.i-assist.jp/data/china/image_1883th/76426207.pdf","76426207")</f>
        <v>76426207</v>
      </c>
      <c r="F1842" s="7" t="s">
        <v>5073</v>
      </c>
      <c r="G1842" s="7" t="s">
        <v>4789</v>
      </c>
      <c r="H1842" s="7" t="s">
        <v>5074</v>
      </c>
      <c r="I1842" s="9">
        <v>45307</v>
      </c>
    </row>
    <row r="1843" spans="1:9" x14ac:dyDescent="0.15">
      <c r="A1843" s="6">
        <v>1842</v>
      </c>
      <c r="B1843" s="7" t="s">
        <v>9</v>
      </c>
      <c r="C1843" s="8">
        <v>1883</v>
      </c>
      <c r="D1843" s="9">
        <v>45395</v>
      </c>
      <c r="E1843" s="13" t="str">
        <f>+HYPERLINK("http://trademark.i-assist.jp/data/china/image_1883th/76426288.pdf","76426288")</f>
        <v>76426288</v>
      </c>
      <c r="F1843" s="7" t="s">
        <v>5075</v>
      </c>
      <c r="G1843" s="7" t="s">
        <v>5076</v>
      </c>
      <c r="H1843" s="7" t="s">
        <v>5077</v>
      </c>
      <c r="I1843" s="9">
        <v>45307</v>
      </c>
    </row>
    <row r="1844" spans="1:9" ht="27" x14ac:dyDescent="0.15">
      <c r="A1844" s="6">
        <v>1843</v>
      </c>
      <c r="B1844" s="7" t="s">
        <v>9</v>
      </c>
      <c r="C1844" s="8">
        <v>1883</v>
      </c>
      <c r="D1844" s="9">
        <v>45395</v>
      </c>
      <c r="E1844" s="13" t="str">
        <f>+HYPERLINK("http://trademark.i-assist.jp/data/china/image_1883th/76426439.pdf","76426439")</f>
        <v>76426439</v>
      </c>
      <c r="F1844" s="7" t="s">
        <v>5078</v>
      </c>
      <c r="G1844" s="7" t="s">
        <v>4608</v>
      </c>
      <c r="H1844" s="7" t="s">
        <v>5079</v>
      </c>
      <c r="I1844" s="9">
        <v>45307</v>
      </c>
    </row>
    <row r="1845" spans="1:9" x14ac:dyDescent="0.15">
      <c r="A1845" s="6">
        <v>1844</v>
      </c>
      <c r="B1845" s="7" t="s">
        <v>9</v>
      </c>
      <c r="C1845" s="8">
        <v>1883</v>
      </c>
      <c r="D1845" s="9">
        <v>45395</v>
      </c>
      <c r="E1845" s="13" t="str">
        <f>+HYPERLINK("http://trademark.i-assist.jp/data/china/image_1883th/76426509.pdf","76426509")</f>
        <v>76426509</v>
      </c>
      <c r="F1845" s="7" t="s">
        <v>5080</v>
      </c>
      <c r="G1845" s="7" t="s">
        <v>4805</v>
      </c>
      <c r="H1845" s="7" t="s">
        <v>5081</v>
      </c>
      <c r="I1845" s="9">
        <v>45307</v>
      </c>
    </row>
    <row r="1846" spans="1:9" x14ac:dyDescent="0.15">
      <c r="A1846" s="6">
        <v>1845</v>
      </c>
      <c r="B1846" s="7" t="s">
        <v>9</v>
      </c>
      <c r="C1846" s="8">
        <v>1883</v>
      </c>
      <c r="D1846" s="9">
        <v>45395</v>
      </c>
      <c r="E1846" s="13" t="str">
        <f>+HYPERLINK("http://trademark.i-assist.jp/data/china/image_1883th/76426564.pdf","76426564")</f>
        <v>76426564</v>
      </c>
      <c r="F1846" s="7" t="s">
        <v>5082</v>
      </c>
      <c r="G1846" s="7" t="s">
        <v>5083</v>
      </c>
      <c r="H1846" s="7" t="s">
        <v>5084</v>
      </c>
      <c r="I1846" s="9">
        <v>45307</v>
      </c>
    </row>
    <row r="1847" spans="1:9" x14ac:dyDescent="0.15">
      <c r="A1847" s="6">
        <v>1846</v>
      </c>
      <c r="B1847" s="7" t="s">
        <v>9</v>
      </c>
      <c r="C1847" s="8">
        <v>1883</v>
      </c>
      <c r="D1847" s="9">
        <v>45395</v>
      </c>
      <c r="E1847" s="13" t="str">
        <f>+HYPERLINK("http://trademark.i-assist.jp/data/china/image_1883th/76426781.pdf","76426781")</f>
        <v>76426781</v>
      </c>
      <c r="F1847" s="7" t="s">
        <v>5085</v>
      </c>
      <c r="G1847" s="7" t="s">
        <v>4734</v>
      </c>
      <c r="H1847" s="7" t="s">
        <v>5086</v>
      </c>
      <c r="I1847" s="9">
        <v>45307</v>
      </c>
    </row>
    <row r="1848" spans="1:9" x14ac:dyDescent="0.15">
      <c r="A1848" s="6">
        <v>1847</v>
      </c>
      <c r="B1848" s="7" t="s">
        <v>9</v>
      </c>
      <c r="C1848" s="8">
        <v>1883</v>
      </c>
      <c r="D1848" s="9">
        <v>45395</v>
      </c>
      <c r="E1848" s="13" t="str">
        <f>+HYPERLINK("http://trademark.i-assist.jp/data/china/image_1883th/76427240.pdf","76427240")</f>
        <v>76427240</v>
      </c>
      <c r="F1848" s="7" t="s">
        <v>5087</v>
      </c>
      <c r="G1848" s="7" t="s">
        <v>5088</v>
      </c>
      <c r="H1848" s="7" t="s">
        <v>5089</v>
      </c>
      <c r="I1848" s="9">
        <v>45307</v>
      </c>
    </row>
    <row r="1849" spans="1:9" x14ac:dyDescent="0.15">
      <c r="A1849" s="6">
        <v>1848</v>
      </c>
      <c r="B1849" s="7" t="s">
        <v>9</v>
      </c>
      <c r="C1849" s="8">
        <v>1883</v>
      </c>
      <c r="D1849" s="9">
        <v>45395</v>
      </c>
      <c r="E1849" s="13" t="str">
        <f>+HYPERLINK("http://trademark.i-assist.jp/data/china/image_1883th/76427268.pdf","76427268")</f>
        <v>76427268</v>
      </c>
      <c r="F1849" s="7" t="s">
        <v>5090</v>
      </c>
      <c r="G1849" s="7" t="s">
        <v>2047</v>
      </c>
      <c r="H1849" s="7" t="s">
        <v>5091</v>
      </c>
      <c r="I1849" s="9">
        <v>45307</v>
      </c>
    </row>
    <row r="1850" spans="1:9" x14ac:dyDescent="0.15">
      <c r="A1850" s="6">
        <v>1849</v>
      </c>
      <c r="B1850" s="7" t="s">
        <v>9</v>
      </c>
      <c r="C1850" s="8">
        <v>1883</v>
      </c>
      <c r="D1850" s="9">
        <v>45395</v>
      </c>
      <c r="E1850" s="13" t="str">
        <f>+HYPERLINK("http://trademark.i-assist.jp/data/china/image_1883th/76427281.pdf","76427281")</f>
        <v>76427281</v>
      </c>
      <c r="F1850" s="7" t="s">
        <v>5092</v>
      </c>
      <c r="G1850" s="7" t="s">
        <v>5093</v>
      </c>
      <c r="H1850" s="7" t="s">
        <v>5094</v>
      </c>
      <c r="I1850" s="9">
        <v>45307</v>
      </c>
    </row>
    <row r="1851" spans="1:9" ht="27" x14ac:dyDescent="0.15">
      <c r="A1851" s="6">
        <v>1850</v>
      </c>
      <c r="B1851" s="7" t="s">
        <v>9</v>
      </c>
      <c r="C1851" s="8">
        <v>1883</v>
      </c>
      <c r="D1851" s="9">
        <v>45395</v>
      </c>
      <c r="E1851" s="13" t="str">
        <f>+HYPERLINK("http://trademark.i-assist.jp/data/china/image_1883th/76427321.pdf","76427321")</f>
        <v>76427321</v>
      </c>
      <c r="F1851" s="7" t="s">
        <v>5095</v>
      </c>
      <c r="G1851" s="7" t="s">
        <v>4608</v>
      </c>
      <c r="H1851" s="7" t="s">
        <v>5096</v>
      </c>
      <c r="I1851" s="9">
        <v>45307</v>
      </c>
    </row>
    <row r="1852" spans="1:9" ht="27" x14ac:dyDescent="0.15">
      <c r="A1852" s="6">
        <v>1851</v>
      </c>
      <c r="B1852" s="7" t="s">
        <v>9</v>
      </c>
      <c r="C1852" s="8">
        <v>1883</v>
      </c>
      <c r="D1852" s="9">
        <v>45395</v>
      </c>
      <c r="E1852" s="13" t="str">
        <f>+HYPERLINK("http://trademark.i-assist.jp/data/china/image_1883th/76427362.pdf","76427362")</f>
        <v>76427362</v>
      </c>
      <c r="F1852" s="7" t="s">
        <v>5097</v>
      </c>
      <c r="G1852" s="7" t="s">
        <v>5098</v>
      </c>
      <c r="H1852" s="7" t="s">
        <v>5099</v>
      </c>
      <c r="I1852" s="9">
        <v>45307</v>
      </c>
    </row>
    <row r="1853" spans="1:9" x14ac:dyDescent="0.15">
      <c r="A1853" s="6">
        <v>1852</v>
      </c>
      <c r="B1853" s="7" t="s">
        <v>9</v>
      </c>
      <c r="C1853" s="8">
        <v>1883</v>
      </c>
      <c r="D1853" s="9">
        <v>45395</v>
      </c>
      <c r="E1853" s="13" t="str">
        <f>+HYPERLINK("http://trademark.i-assist.jp/data/china/image_1883th/76427437.pdf","76427437")</f>
        <v>76427437</v>
      </c>
      <c r="F1853" s="7" t="s">
        <v>5100</v>
      </c>
      <c r="G1853" s="7" t="s">
        <v>4622</v>
      </c>
      <c r="H1853" s="7" t="s">
        <v>5101</v>
      </c>
      <c r="I1853" s="9">
        <v>45307</v>
      </c>
    </row>
    <row r="1854" spans="1:9" ht="27" x14ac:dyDescent="0.15">
      <c r="A1854" s="6">
        <v>1853</v>
      </c>
      <c r="B1854" s="7" t="s">
        <v>9</v>
      </c>
      <c r="C1854" s="8">
        <v>1883</v>
      </c>
      <c r="D1854" s="9">
        <v>45395</v>
      </c>
      <c r="E1854" s="13" t="str">
        <f>+HYPERLINK("http://trademark.i-assist.jp/data/china/image_1883th/76427548.pdf","76427548")</f>
        <v>76427548</v>
      </c>
      <c r="F1854" s="7" t="s">
        <v>5102</v>
      </c>
      <c r="G1854" s="7" t="s">
        <v>4608</v>
      </c>
      <c r="H1854" s="7" t="s">
        <v>5103</v>
      </c>
      <c r="I1854" s="9">
        <v>45307</v>
      </c>
    </row>
    <row r="1855" spans="1:9" ht="27" x14ac:dyDescent="0.15">
      <c r="A1855" s="6">
        <v>1854</v>
      </c>
      <c r="B1855" s="7" t="s">
        <v>9</v>
      </c>
      <c r="C1855" s="8">
        <v>1883</v>
      </c>
      <c r="D1855" s="9">
        <v>45395</v>
      </c>
      <c r="E1855" s="13" t="str">
        <f>+HYPERLINK("http://trademark.i-assist.jp/data/china/image_1883th/76427563.pdf","76427563")</f>
        <v>76427563</v>
      </c>
      <c r="F1855" s="7" t="s">
        <v>5104</v>
      </c>
      <c r="G1855" s="7" t="s">
        <v>5105</v>
      </c>
      <c r="H1855" s="7" t="s">
        <v>5106</v>
      </c>
      <c r="I1855" s="9">
        <v>45307</v>
      </c>
    </row>
    <row r="1856" spans="1:9" x14ac:dyDescent="0.15">
      <c r="A1856" s="6">
        <v>1855</v>
      </c>
      <c r="B1856" s="7" t="s">
        <v>9</v>
      </c>
      <c r="C1856" s="8">
        <v>1883</v>
      </c>
      <c r="D1856" s="9">
        <v>45395</v>
      </c>
      <c r="E1856" s="13" t="str">
        <f>+HYPERLINK("http://trademark.i-assist.jp/data/china/image_1883th/76427572.pdf","76427572")</f>
        <v>76427572</v>
      </c>
      <c r="F1856" s="7" t="s">
        <v>5107</v>
      </c>
      <c r="G1856" s="7" t="s">
        <v>5108</v>
      </c>
      <c r="H1856" s="7" t="s">
        <v>5109</v>
      </c>
      <c r="I1856" s="9">
        <v>45307</v>
      </c>
    </row>
    <row r="1857" spans="1:9" x14ac:dyDescent="0.15">
      <c r="A1857" s="6">
        <v>1856</v>
      </c>
      <c r="B1857" s="7" t="s">
        <v>9</v>
      </c>
      <c r="C1857" s="8">
        <v>1883</v>
      </c>
      <c r="D1857" s="9">
        <v>45395</v>
      </c>
      <c r="E1857" s="13" t="str">
        <f>+HYPERLINK("http://trademark.i-assist.jp/data/china/image_1883th/76427598.pdf","76427598")</f>
        <v>76427598</v>
      </c>
      <c r="F1857" s="7" t="s">
        <v>5110</v>
      </c>
      <c r="G1857" s="7" t="s">
        <v>5111</v>
      </c>
      <c r="H1857" s="7" t="s">
        <v>5112</v>
      </c>
      <c r="I1857" s="9">
        <v>45307</v>
      </c>
    </row>
    <row r="1858" spans="1:9" x14ac:dyDescent="0.15">
      <c r="A1858" s="6">
        <v>1857</v>
      </c>
      <c r="B1858" s="7" t="s">
        <v>9</v>
      </c>
      <c r="C1858" s="8">
        <v>1883</v>
      </c>
      <c r="D1858" s="9">
        <v>45395</v>
      </c>
      <c r="E1858" s="13" t="str">
        <f>+HYPERLINK("http://trademark.i-assist.jp/data/china/image_1883th/76427912.pdf","76427912")</f>
        <v>76427912</v>
      </c>
      <c r="F1858" s="7" t="s">
        <v>5113</v>
      </c>
      <c r="G1858" s="7" t="s">
        <v>1480</v>
      </c>
      <c r="H1858" s="7" t="s">
        <v>5114</v>
      </c>
      <c r="I1858" s="9">
        <v>45307</v>
      </c>
    </row>
    <row r="1859" spans="1:9" x14ac:dyDescent="0.15">
      <c r="A1859" s="6">
        <v>1858</v>
      </c>
      <c r="B1859" s="7" t="s">
        <v>9</v>
      </c>
      <c r="C1859" s="8">
        <v>1883</v>
      </c>
      <c r="D1859" s="9">
        <v>45395</v>
      </c>
      <c r="E1859" s="13" t="str">
        <f>+HYPERLINK("http://trademark.i-assist.jp/data/china/image_1883th/76427958.pdf","76427958")</f>
        <v>76427958</v>
      </c>
      <c r="F1859" s="7" t="s">
        <v>5115</v>
      </c>
      <c r="G1859" s="7" t="s">
        <v>1716</v>
      </c>
      <c r="H1859" s="7" t="s">
        <v>5116</v>
      </c>
      <c r="I1859" s="9">
        <v>45307</v>
      </c>
    </row>
    <row r="1860" spans="1:9" x14ac:dyDescent="0.15">
      <c r="A1860" s="6">
        <v>1859</v>
      </c>
      <c r="B1860" s="7" t="s">
        <v>9</v>
      </c>
      <c r="C1860" s="8">
        <v>1883</v>
      </c>
      <c r="D1860" s="9">
        <v>45395</v>
      </c>
      <c r="E1860" s="13" t="str">
        <f>+HYPERLINK("http://trademark.i-assist.jp/data/china/image_1883th/76428182.pdf","76428182")</f>
        <v>76428182</v>
      </c>
      <c r="F1860" s="7" t="s">
        <v>5117</v>
      </c>
      <c r="G1860" s="7" t="s">
        <v>5118</v>
      </c>
      <c r="H1860" s="7" t="s">
        <v>5119</v>
      </c>
      <c r="I1860" s="9">
        <v>45307</v>
      </c>
    </row>
    <row r="1861" spans="1:9" x14ac:dyDescent="0.15">
      <c r="A1861" s="6">
        <v>1860</v>
      </c>
      <c r="B1861" s="7" t="s">
        <v>9</v>
      </c>
      <c r="C1861" s="8">
        <v>1883</v>
      </c>
      <c r="D1861" s="9">
        <v>45395</v>
      </c>
      <c r="E1861" s="13" t="str">
        <f>+HYPERLINK("http://trademark.i-assist.jp/data/china/image_1883th/76428544.pdf","76428544")</f>
        <v>76428544</v>
      </c>
      <c r="F1861" s="7" t="s">
        <v>5120</v>
      </c>
      <c r="G1861" s="7" t="s">
        <v>5121</v>
      </c>
      <c r="H1861" s="7" t="s">
        <v>5122</v>
      </c>
      <c r="I1861" s="9">
        <v>45307</v>
      </c>
    </row>
    <row r="1862" spans="1:9" x14ac:dyDescent="0.15">
      <c r="A1862" s="6">
        <v>1861</v>
      </c>
      <c r="B1862" s="7" t="s">
        <v>9</v>
      </c>
      <c r="C1862" s="8">
        <v>1883</v>
      </c>
      <c r="D1862" s="9">
        <v>45395</v>
      </c>
      <c r="E1862" s="13" t="str">
        <f>+HYPERLINK("http://trademark.i-assist.jp/data/china/image_1883th/76428716.pdf","76428716")</f>
        <v>76428716</v>
      </c>
      <c r="F1862" s="7" t="s">
        <v>5123</v>
      </c>
      <c r="G1862" s="7" t="s">
        <v>5124</v>
      </c>
      <c r="H1862" s="7" t="s">
        <v>5125</v>
      </c>
      <c r="I1862" s="9">
        <v>45307</v>
      </c>
    </row>
    <row r="1863" spans="1:9" x14ac:dyDescent="0.15">
      <c r="A1863" s="6">
        <v>1862</v>
      </c>
      <c r="B1863" s="7" t="s">
        <v>9</v>
      </c>
      <c r="C1863" s="8">
        <v>1883</v>
      </c>
      <c r="D1863" s="9">
        <v>45395</v>
      </c>
      <c r="E1863" s="13" t="str">
        <f>+HYPERLINK("http://trademark.i-assist.jp/data/china/image_1883th/76428792.pdf","76428792")</f>
        <v>76428792</v>
      </c>
      <c r="F1863" s="7" t="s">
        <v>5126</v>
      </c>
      <c r="G1863" s="7" t="s">
        <v>5127</v>
      </c>
      <c r="H1863" s="7" t="s">
        <v>5128</v>
      </c>
      <c r="I1863" s="9">
        <v>45307</v>
      </c>
    </row>
    <row r="1864" spans="1:9" x14ac:dyDescent="0.15">
      <c r="A1864" s="6">
        <v>1863</v>
      </c>
      <c r="B1864" s="7" t="s">
        <v>9</v>
      </c>
      <c r="C1864" s="8">
        <v>1883</v>
      </c>
      <c r="D1864" s="9">
        <v>45395</v>
      </c>
      <c r="E1864" s="13" t="str">
        <f>+HYPERLINK("http://trademark.i-assist.jp/data/china/image_1883th/76429088.pdf","76429088")</f>
        <v>76429088</v>
      </c>
      <c r="F1864" s="7" t="s">
        <v>5129</v>
      </c>
      <c r="G1864" s="7" t="s">
        <v>5130</v>
      </c>
      <c r="H1864" s="7" t="s">
        <v>5131</v>
      </c>
      <c r="I1864" s="9">
        <v>45307</v>
      </c>
    </row>
    <row r="1865" spans="1:9" x14ac:dyDescent="0.15">
      <c r="A1865" s="6">
        <v>1864</v>
      </c>
      <c r="B1865" s="7" t="s">
        <v>9</v>
      </c>
      <c r="C1865" s="8">
        <v>1883</v>
      </c>
      <c r="D1865" s="9">
        <v>45395</v>
      </c>
      <c r="E1865" s="13" t="str">
        <f>+HYPERLINK("http://trademark.i-assist.jp/data/china/image_1883th/76429098.pdf","76429098")</f>
        <v>76429098</v>
      </c>
      <c r="F1865" s="7" t="s">
        <v>5132</v>
      </c>
      <c r="G1865" s="7" t="s">
        <v>5133</v>
      </c>
      <c r="H1865" s="7" t="s">
        <v>5134</v>
      </c>
      <c r="I1865" s="9">
        <v>45307</v>
      </c>
    </row>
    <row r="1866" spans="1:9" ht="27" x14ac:dyDescent="0.15">
      <c r="A1866" s="6">
        <v>1865</v>
      </c>
      <c r="B1866" s="7" t="s">
        <v>9</v>
      </c>
      <c r="C1866" s="8">
        <v>1883</v>
      </c>
      <c r="D1866" s="9">
        <v>45395</v>
      </c>
      <c r="E1866" s="13" t="str">
        <f>+HYPERLINK("http://trademark.i-assist.jp/data/china/image_1883th/76429166.pdf","76429166")</f>
        <v>76429166</v>
      </c>
      <c r="F1866" s="7" t="s">
        <v>5135</v>
      </c>
      <c r="G1866" s="7" t="s">
        <v>5136</v>
      </c>
      <c r="H1866" s="7" t="s">
        <v>5137</v>
      </c>
      <c r="I1866" s="9">
        <v>45308</v>
      </c>
    </row>
    <row r="1867" spans="1:9" x14ac:dyDescent="0.15">
      <c r="A1867" s="6">
        <v>1866</v>
      </c>
      <c r="B1867" s="7" t="s">
        <v>9</v>
      </c>
      <c r="C1867" s="8">
        <v>1883</v>
      </c>
      <c r="D1867" s="9">
        <v>45395</v>
      </c>
      <c r="E1867" s="13" t="str">
        <f>+HYPERLINK("http://trademark.i-assist.jp/data/china/image_1883th/76429230.pdf","76429230")</f>
        <v>76429230</v>
      </c>
      <c r="F1867" s="7" t="s">
        <v>5138</v>
      </c>
      <c r="G1867" s="7" t="s">
        <v>5139</v>
      </c>
      <c r="H1867" s="7" t="s">
        <v>5140</v>
      </c>
      <c r="I1867" s="9">
        <v>45307</v>
      </c>
    </row>
    <row r="1868" spans="1:9" ht="27" x14ac:dyDescent="0.15">
      <c r="A1868" s="6">
        <v>1867</v>
      </c>
      <c r="B1868" s="7" t="s">
        <v>9</v>
      </c>
      <c r="C1868" s="8">
        <v>1883</v>
      </c>
      <c r="D1868" s="9">
        <v>45395</v>
      </c>
      <c r="E1868" s="13" t="str">
        <f>+HYPERLINK("http://trademark.i-assist.jp/data/china/image_1883th/76429268.pdf","76429268")</f>
        <v>76429268</v>
      </c>
      <c r="F1868" s="7" t="s">
        <v>5141</v>
      </c>
      <c r="G1868" s="7" t="s">
        <v>4758</v>
      </c>
      <c r="H1868" s="7" t="s">
        <v>5142</v>
      </c>
      <c r="I1868" s="9">
        <v>45307</v>
      </c>
    </row>
    <row r="1869" spans="1:9" ht="27" x14ac:dyDescent="0.15">
      <c r="A1869" s="6">
        <v>1868</v>
      </c>
      <c r="B1869" s="7" t="s">
        <v>9</v>
      </c>
      <c r="C1869" s="8">
        <v>1883</v>
      </c>
      <c r="D1869" s="9">
        <v>45395</v>
      </c>
      <c r="E1869" s="13" t="str">
        <f>+HYPERLINK("http://trademark.i-assist.jp/data/china/image_1883th/76429277.pdf","76429277")</f>
        <v>76429277</v>
      </c>
      <c r="F1869" s="7" t="s">
        <v>5143</v>
      </c>
      <c r="G1869" s="7" t="s">
        <v>4758</v>
      </c>
      <c r="H1869" s="7" t="s">
        <v>5144</v>
      </c>
      <c r="I1869" s="9">
        <v>45307</v>
      </c>
    </row>
    <row r="1870" spans="1:9" x14ac:dyDescent="0.15">
      <c r="A1870" s="6">
        <v>1869</v>
      </c>
      <c r="B1870" s="7" t="s">
        <v>9</v>
      </c>
      <c r="C1870" s="8">
        <v>1883</v>
      </c>
      <c r="D1870" s="9">
        <v>45395</v>
      </c>
      <c r="E1870" s="13" t="str">
        <f>+HYPERLINK("http://trademark.i-assist.jp/data/china/image_1883th/76429315.pdf","76429315")</f>
        <v>76429315</v>
      </c>
      <c r="F1870" s="7" t="s">
        <v>5145</v>
      </c>
      <c r="G1870" s="7" t="s">
        <v>5146</v>
      </c>
      <c r="H1870" s="7" t="s">
        <v>5147</v>
      </c>
      <c r="I1870" s="9">
        <v>45307</v>
      </c>
    </row>
    <row r="1871" spans="1:9" x14ac:dyDescent="0.15">
      <c r="A1871" s="6">
        <v>1870</v>
      </c>
      <c r="B1871" s="7" t="s">
        <v>9</v>
      </c>
      <c r="C1871" s="8">
        <v>1883</v>
      </c>
      <c r="D1871" s="9">
        <v>45395</v>
      </c>
      <c r="E1871" s="13" t="str">
        <f>+HYPERLINK("http://trademark.i-assist.jp/data/china/image_1883th/76429371.pdf","76429371")</f>
        <v>76429371</v>
      </c>
      <c r="F1871" s="7" t="s">
        <v>5148</v>
      </c>
      <c r="G1871" s="7" t="s">
        <v>5149</v>
      </c>
      <c r="H1871" s="7" t="s">
        <v>5150</v>
      </c>
      <c r="I1871" s="9">
        <v>45307</v>
      </c>
    </row>
    <row r="1872" spans="1:9" x14ac:dyDescent="0.15">
      <c r="A1872" s="6">
        <v>1871</v>
      </c>
      <c r="B1872" s="7" t="s">
        <v>9</v>
      </c>
      <c r="C1872" s="8">
        <v>1883</v>
      </c>
      <c r="D1872" s="9">
        <v>45395</v>
      </c>
      <c r="E1872" s="13" t="str">
        <f>+HYPERLINK("http://trademark.i-assist.jp/data/china/image_1883th/76429608.pdf","76429608")</f>
        <v>76429608</v>
      </c>
      <c r="F1872" s="7" t="s">
        <v>5151</v>
      </c>
      <c r="G1872" s="7" t="s">
        <v>5152</v>
      </c>
      <c r="H1872" s="7" t="s">
        <v>5153</v>
      </c>
      <c r="I1872" s="9">
        <v>45307</v>
      </c>
    </row>
    <row r="1873" spans="1:9" x14ac:dyDescent="0.15">
      <c r="A1873" s="6">
        <v>1872</v>
      </c>
      <c r="B1873" s="7" t="s">
        <v>9</v>
      </c>
      <c r="C1873" s="8">
        <v>1883</v>
      </c>
      <c r="D1873" s="9">
        <v>45395</v>
      </c>
      <c r="E1873" s="13" t="str">
        <f>+HYPERLINK("http://trademark.i-assist.jp/data/china/image_1883th/76429999.pdf","76429999")</f>
        <v>76429999</v>
      </c>
      <c r="F1873" s="7" t="s">
        <v>5154</v>
      </c>
      <c r="G1873" s="7" t="s">
        <v>5155</v>
      </c>
      <c r="H1873" s="7" t="s">
        <v>5156</v>
      </c>
      <c r="I1873" s="9">
        <v>45307</v>
      </c>
    </row>
    <row r="1874" spans="1:9" x14ac:dyDescent="0.15">
      <c r="A1874" s="6">
        <v>1873</v>
      </c>
      <c r="B1874" s="7" t="s">
        <v>9</v>
      </c>
      <c r="C1874" s="8">
        <v>1883</v>
      </c>
      <c r="D1874" s="9">
        <v>45395</v>
      </c>
      <c r="E1874" s="13" t="str">
        <f>+HYPERLINK("http://trademark.i-assist.jp/data/china/image_1883th/76430094.pdf","76430094")</f>
        <v>76430094</v>
      </c>
      <c r="F1874" s="7" t="s">
        <v>57</v>
      </c>
      <c r="G1874" s="7" t="s">
        <v>5157</v>
      </c>
      <c r="H1874" s="7" t="s">
        <v>5158</v>
      </c>
      <c r="I1874" s="9">
        <v>45307</v>
      </c>
    </row>
    <row r="1875" spans="1:9" x14ac:dyDescent="0.15">
      <c r="A1875" s="6">
        <v>1874</v>
      </c>
      <c r="B1875" s="7" t="s">
        <v>9</v>
      </c>
      <c r="C1875" s="8">
        <v>1883</v>
      </c>
      <c r="D1875" s="9">
        <v>45395</v>
      </c>
      <c r="E1875" s="13" t="str">
        <f>+HYPERLINK("http://trademark.i-assist.jp/data/china/image_1883th/76430231.pdf","76430231")</f>
        <v>76430231</v>
      </c>
      <c r="F1875" s="7" t="s">
        <v>5159</v>
      </c>
      <c r="G1875" s="7" t="s">
        <v>5160</v>
      </c>
      <c r="H1875" s="7" t="s">
        <v>5161</v>
      </c>
      <c r="I1875" s="9">
        <v>45307</v>
      </c>
    </row>
    <row r="1876" spans="1:9" x14ac:dyDescent="0.15">
      <c r="A1876" s="6">
        <v>1875</v>
      </c>
      <c r="B1876" s="7" t="s">
        <v>9</v>
      </c>
      <c r="C1876" s="8">
        <v>1883</v>
      </c>
      <c r="D1876" s="9">
        <v>45395</v>
      </c>
      <c r="E1876" s="13" t="str">
        <f>+HYPERLINK("http://trademark.i-assist.jp/data/china/image_1883th/76430285.pdf","76430285")</f>
        <v>76430285</v>
      </c>
      <c r="F1876" s="7" t="s">
        <v>4497</v>
      </c>
      <c r="G1876" s="7" t="s">
        <v>4498</v>
      </c>
      <c r="H1876" s="7" t="s">
        <v>5162</v>
      </c>
      <c r="I1876" s="9">
        <v>45307</v>
      </c>
    </row>
    <row r="1877" spans="1:9" x14ac:dyDescent="0.15">
      <c r="A1877" s="6">
        <v>1876</v>
      </c>
      <c r="B1877" s="7" t="s">
        <v>9</v>
      </c>
      <c r="C1877" s="8">
        <v>1883</v>
      </c>
      <c r="D1877" s="9">
        <v>45395</v>
      </c>
      <c r="E1877" s="13" t="str">
        <f>+HYPERLINK("http://trademark.i-assist.jp/data/china/image_1883th/76430497.pdf","76430497")</f>
        <v>76430497</v>
      </c>
      <c r="F1877" s="7" t="s">
        <v>5163</v>
      </c>
      <c r="G1877" s="7" t="s">
        <v>5164</v>
      </c>
      <c r="H1877" s="7" t="s">
        <v>5165</v>
      </c>
      <c r="I1877" s="9">
        <v>45307</v>
      </c>
    </row>
    <row r="1878" spans="1:9" ht="27" x14ac:dyDescent="0.15">
      <c r="A1878" s="6">
        <v>1877</v>
      </c>
      <c r="B1878" s="7" t="s">
        <v>9</v>
      </c>
      <c r="C1878" s="8">
        <v>1883</v>
      </c>
      <c r="D1878" s="9">
        <v>45395</v>
      </c>
      <c r="E1878" s="13" t="str">
        <f>+HYPERLINK("http://trademark.i-assist.jp/data/china/image_1883th/76430584.pdf","76430584")</f>
        <v>76430584</v>
      </c>
      <c r="F1878" s="7" t="s">
        <v>5166</v>
      </c>
      <c r="G1878" s="7" t="s">
        <v>4967</v>
      </c>
      <c r="H1878" s="7" t="s">
        <v>5167</v>
      </c>
      <c r="I1878" s="9">
        <v>45307</v>
      </c>
    </row>
    <row r="1879" spans="1:9" x14ac:dyDescent="0.15">
      <c r="A1879" s="6">
        <v>1878</v>
      </c>
      <c r="B1879" s="7" t="s">
        <v>9</v>
      </c>
      <c r="C1879" s="8">
        <v>1883</v>
      </c>
      <c r="D1879" s="9">
        <v>45395</v>
      </c>
      <c r="E1879" s="13" t="str">
        <f>+HYPERLINK("http://trademark.i-assist.jp/data/china/image_1883th/76430607.pdf","76430607")</f>
        <v>76430607</v>
      </c>
      <c r="F1879" s="7" t="s">
        <v>5168</v>
      </c>
      <c r="G1879" s="7" t="s">
        <v>4789</v>
      </c>
      <c r="H1879" s="7" t="s">
        <v>5169</v>
      </c>
      <c r="I1879" s="9">
        <v>45307</v>
      </c>
    </row>
    <row r="1880" spans="1:9" x14ac:dyDescent="0.15">
      <c r="A1880" s="6">
        <v>1879</v>
      </c>
      <c r="B1880" s="7" t="s">
        <v>9</v>
      </c>
      <c r="C1880" s="8">
        <v>1883</v>
      </c>
      <c r="D1880" s="9">
        <v>45395</v>
      </c>
      <c r="E1880" s="13" t="str">
        <f>+HYPERLINK("http://trademark.i-assist.jp/data/china/image_1883th/76430666.pdf","76430666")</f>
        <v>76430666</v>
      </c>
      <c r="F1880" s="7" t="s">
        <v>5170</v>
      </c>
      <c r="G1880" s="7" t="s">
        <v>5171</v>
      </c>
      <c r="H1880" s="7" t="s">
        <v>5172</v>
      </c>
      <c r="I1880" s="9">
        <v>45307</v>
      </c>
    </row>
    <row r="1881" spans="1:9" x14ac:dyDescent="0.15">
      <c r="A1881" s="6">
        <v>1880</v>
      </c>
      <c r="B1881" s="7" t="s">
        <v>9</v>
      </c>
      <c r="C1881" s="8">
        <v>1883</v>
      </c>
      <c r="D1881" s="9">
        <v>45395</v>
      </c>
      <c r="E1881" s="13" t="str">
        <f>+HYPERLINK("http://trademark.i-assist.jp/data/china/image_1883th/76430754.pdf","76430754")</f>
        <v>76430754</v>
      </c>
      <c r="F1881" s="7" t="s">
        <v>5173</v>
      </c>
      <c r="G1881" s="7" t="s">
        <v>5008</v>
      </c>
      <c r="H1881" s="7" t="s">
        <v>5174</v>
      </c>
      <c r="I1881" s="9">
        <v>45307</v>
      </c>
    </row>
    <row r="1882" spans="1:9" x14ac:dyDescent="0.15">
      <c r="A1882" s="6">
        <v>1881</v>
      </c>
      <c r="B1882" s="7" t="s">
        <v>9</v>
      </c>
      <c r="C1882" s="8">
        <v>1883</v>
      </c>
      <c r="D1882" s="9">
        <v>45395</v>
      </c>
      <c r="E1882" s="13" t="str">
        <f>+HYPERLINK("http://trademark.i-assist.jp/data/china/image_1883th/76430819.pdf","76430819")</f>
        <v>76430819</v>
      </c>
      <c r="F1882" s="7" t="s">
        <v>5175</v>
      </c>
      <c r="G1882" s="7" t="s">
        <v>5176</v>
      </c>
      <c r="H1882" s="7" t="s">
        <v>5177</v>
      </c>
      <c r="I1882" s="9">
        <v>45307</v>
      </c>
    </row>
    <row r="1883" spans="1:9" x14ac:dyDescent="0.15">
      <c r="A1883" s="6">
        <v>1882</v>
      </c>
      <c r="B1883" s="7" t="s">
        <v>9</v>
      </c>
      <c r="C1883" s="8">
        <v>1883</v>
      </c>
      <c r="D1883" s="9">
        <v>45395</v>
      </c>
      <c r="E1883" s="13" t="str">
        <f>+HYPERLINK("http://trademark.i-assist.jp/data/china/image_1883th/76431020.pdf","76431020")</f>
        <v>76431020</v>
      </c>
      <c r="F1883" s="7" t="s">
        <v>5178</v>
      </c>
      <c r="G1883" s="7" t="s">
        <v>5179</v>
      </c>
      <c r="H1883" s="7" t="s">
        <v>5180</v>
      </c>
      <c r="I1883" s="9">
        <v>45307</v>
      </c>
    </row>
    <row r="1884" spans="1:9" ht="27" x14ac:dyDescent="0.15">
      <c r="A1884" s="6">
        <v>1883</v>
      </c>
      <c r="B1884" s="7" t="s">
        <v>9</v>
      </c>
      <c r="C1884" s="8">
        <v>1883</v>
      </c>
      <c r="D1884" s="9">
        <v>45395</v>
      </c>
      <c r="E1884" s="13" t="str">
        <f>+HYPERLINK("http://trademark.i-assist.jp/data/china/image_1883th/76431045.pdf","76431045")</f>
        <v>76431045</v>
      </c>
      <c r="F1884" s="7" t="s">
        <v>5181</v>
      </c>
      <c r="G1884" s="7" t="s">
        <v>5182</v>
      </c>
      <c r="H1884" s="7" t="s">
        <v>5183</v>
      </c>
      <c r="I1884" s="9">
        <v>45307</v>
      </c>
    </row>
    <row r="1885" spans="1:9" x14ac:dyDescent="0.15">
      <c r="A1885" s="6">
        <v>1884</v>
      </c>
      <c r="B1885" s="7" t="s">
        <v>9</v>
      </c>
      <c r="C1885" s="8">
        <v>1883</v>
      </c>
      <c r="D1885" s="9">
        <v>45395</v>
      </c>
      <c r="E1885" s="13" t="str">
        <f>+HYPERLINK("http://trademark.i-assist.jp/data/china/image_1883th/76431108.pdf","76431108")</f>
        <v>76431108</v>
      </c>
      <c r="F1885" s="7" t="s">
        <v>5184</v>
      </c>
      <c r="G1885" s="7" t="s">
        <v>4731</v>
      </c>
      <c r="H1885" s="7" t="s">
        <v>5185</v>
      </c>
      <c r="I1885" s="9">
        <v>45307</v>
      </c>
    </row>
    <row r="1886" spans="1:9" x14ac:dyDescent="0.15">
      <c r="A1886" s="6">
        <v>1885</v>
      </c>
      <c r="B1886" s="7" t="s">
        <v>9</v>
      </c>
      <c r="C1886" s="8">
        <v>1883</v>
      </c>
      <c r="D1886" s="9">
        <v>45395</v>
      </c>
      <c r="E1886" s="13" t="str">
        <f>+HYPERLINK("http://trademark.i-assist.jp/data/china/image_1883th/76431179.pdf","76431179")</f>
        <v>76431179</v>
      </c>
      <c r="F1886" s="7" t="s">
        <v>5186</v>
      </c>
      <c r="G1886" s="7" t="s">
        <v>4799</v>
      </c>
      <c r="H1886" s="7" t="s">
        <v>5187</v>
      </c>
      <c r="I1886" s="9">
        <v>45307</v>
      </c>
    </row>
    <row r="1887" spans="1:9" x14ac:dyDescent="0.15">
      <c r="A1887" s="6">
        <v>1886</v>
      </c>
      <c r="B1887" s="7" t="s">
        <v>9</v>
      </c>
      <c r="C1887" s="8">
        <v>1883</v>
      </c>
      <c r="D1887" s="9">
        <v>45395</v>
      </c>
      <c r="E1887" s="13" t="str">
        <f>+HYPERLINK("http://trademark.i-assist.jp/data/china/image_1883th/76431372.pdf","76431372")</f>
        <v>76431372</v>
      </c>
      <c r="F1887" s="7" t="s">
        <v>5188</v>
      </c>
      <c r="G1887" s="7" t="s">
        <v>4999</v>
      </c>
      <c r="H1887" s="7" t="s">
        <v>5189</v>
      </c>
      <c r="I1887" s="9">
        <v>45307</v>
      </c>
    </row>
    <row r="1888" spans="1:9" ht="27" x14ac:dyDescent="0.15">
      <c r="A1888" s="6">
        <v>1887</v>
      </c>
      <c r="B1888" s="7" t="s">
        <v>9</v>
      </c>
      <c r="C1888" s="8">
        <v>1883</v>
      </c>
      <c r="D1888" s="9">
        <v>45395</v>
      </c>
      <c r="E1888" s="13" t="str">
        <f>+HYPERLINK("http://trademark.i-assist.jp/data/china/image_1883th/76431374.pdf","76431374")</f>
        <v>76431374</v>
      </c>
      <c r="F1888" s="7" t="s">
        <v>5190</v>
      </c>
      <c r="G1888" s="7" t="s">
        <v>5191</v>
      </c>
      <c r="H1888" s="7" t="s">
        <v>5192</v>
      </c>
      <c r="I1888" s="9">
        <v>45307</v>
      </c>
    </row>
    <row r="1889" spans="1:9" x14ac:dyDescent="0.15">
      <c r="A1889" s="6">
        <v>1888</v>
      </c>
      <c r="B1889" s="7" t="s">
        <v>9</v>
      </c>
      <c r="C1889" s="8">
        <v>1883</v>
      </c>
      <c r="D1889" s="9">
        <v>45395</v>
      </c>
      <c r="E1889" s="13" t="str">
        <f>+HYPERLINK("http://trademark.i-assist.jp/data/china/image_1883th/76431572.pdf","76431572")</f>
        <v>76431572</v>
      </c>
      <c r="F1889" s="7" t="s">
        <v>5193</v>
      </c>
      <c r="G1889" s="7" t="s">
        <v>5194</v>
      </c>
      <c r="H1889" s="7" t="s">
        <v>5195</v>
      </c>
      <c r="I1889" s="9">
        <v>45307</v>
      </c>
    </row>
    <row r="1890" spans="1:9" x14ac:dyDescent="0.15">
      <c r="A1890" s="6">
        <v>1889</v>
      </c>
      <c r="B1890" s="7" t="s">
        <v>9</v>
      </c>
      <c r="C1890" s="8">
        <v>1883</v>
      </c>
      <c r="D1890" s="9">
        <v>45395</v>
      </c>
      <c r="E1890" s="13" t="str">
        <f>+HYPERLINK("http://trademark.i-assist.jp/data/china/image_1883th/76431764.pdf","76431764")</f>
        <v>76431764</v>
      </c>
      <c r="F1890" s="7" t="s">
        <v>5196</v>
      </c>
      <c r="G1890" s="7" t="s">
        <v>5197</v>
      </c>
      <c r="H1890" s="7" t="s">
        <v>5198</v>
      </c>
      <c r="I1890" s="9">
        <v>45307</v>
      </c>
    </row>
    <row r="1891" spans="1:9" ht="27" x14ac:dyDescent="0.15">
      <c r="A1891" s="6">
        <v>1890</v>
      </c>
      <c r="B1891" s="7" t="s">
        <v>9</v>
      </c>
      <c r="C1891" s="8">
        <v>1883</v>
      </c>
      <c r="D1891" s="9">
        <v>45395</v>
      </c>
      <c r="E1891" s="13" t="str">
        <f>+HYPERLINK("http://trademark.i-assist.jp/data/china/image_1883th/76431952.pdf","76431952")</f>
        <v>76431952</v>
      </c>
      <c r="F1891" s="7" t="s">
        <v>5199</v>
      </c>
      <c r="G1891" s="7" t="s">
        <v>5200</v>
      </c>
      <c r="H1891" s="7" t="s">
        <v>5201</v>
      </c>
      <c r="I1891" s="9">
        <v>45307</v>
      </c>
    </row>
    <row r="1892" spans="1:9" x14ac:dyDescent="0.15">
      <c r="A1892" s="6">
        <v>1891</v>
      </c>
      <c r="B1892" s="7" t="s">
        <v>9</v>
      </c>
      <c r="C1892" s="8">
        <v>1883</v>
      </c>
      <c r="D1892" s="9">
        <v>45395</v>
      </c>
      <c r="E1892" s="13" t="str">
        <f>+HYPERLINK("http://trademark.i-assist.jp/data/china/image_1883th/76431994.pdf","76431994")</f>
        <v>76431994</v>
      </c>
      <c r="F1892" s="7" t="s">
        <v>5202</v>
      </c>
      <c r="G1892" s="7" t="s">
        <v>5203</v>
      </c>
      <c r="H1892" s="7" t="s">
        <v>5204</v>
      </c>
      <c r="I1892" s="9">
        <v>45307</v>
      </c>
    </row>
    <row r="1893" spans="1:9" ht="27" x14ac:dyDescent="0.15">
      <c r="A1893" s="6">
        <v>1892</v>
      </c>
      <c r="B1893" s="7" t="s">
        <v>9</v>
      </c>
      <c r="C1893" s="8">
        <v>1883</v>
      </c>
      <c r="D1893" s="9">
        <v>45395</v>
      </c>
      <c r="E1893" s="13" t="str">
        <f>+HYPERLINK("http://trademark.i-assist.jp/data/china/image_1883th/76432016.pdf","76432016")</f>
        <v>76432016</v>
      </c>
      <c r="F1893" s="7" t="s">
        <v>5205</v>
      </c>
      <c r="G1893" s="7" t="s">
        <v>5206</v>
      </c>
      <c r="H1893" s="7" t="s">
        <v>5207</v>
      </c>
      <c r="I1893" s="9">
        <v>45307</v>
      </c>
    </row>
    <row r="1894" spans="1:9" x14ac:dyDescent="0.15">
      <c r="A1894" s="6">
        <v>1893</v>
      </c>
      <c r="B1894" s="7" t="s">
        <v>9</v>
      </c>
      <c r="C1894" s="8">
        <v>1883</v>
      </c>
      <c r="D1894" s="9">
        <v>45395</v>
      </c>
      <c r="E1894" s="13" t="str">
        <f>+HYPERLINK("http://trademark.i-assist.jp/data/china/image_1883th/76432071.pdf","76432071")</f>
        <v>76432071</v>
      </c>
      <c r="F1894" s="7" t="s">
        <v>5208</v>
      </c>
      <c r="G1894" s="7" t="s">
        <v>4722</v>
      </c>
      <c r="H1894" s="7" t="s">
        <v>5209</v>
      </c>
      <c r="I1894" s="9">
        <v>45307</v>
      </c>
    </row>
    <row r="1895" spans="1:9" x14ac:dyDescent="0.15">
      <c r="A1895" s="6">
        <v>1894</v>
      </c>
      <c r="B1895" s="7" t="s">
        <v>9</v>
      </c>
      <c r="C1895" s="8">
        <v>1883</v>
      </c>
      <c r="D1895" s="9">
        <v>45395</v>
      </c>
      <c r="E1895" s="13" t="str">
        <f>+HYPERLINK("http://trademark.i-assist.jp/data/china/image_1883th/76432398.pdf","76432398")</f>
        <v>76432398</v>
      </c>
      <c r="F1895" s="7" t="s">
        <v>5210</v>
      </c>
      <c r="G1895" s="7" t="s">
        <v>4451</v>
      </c>
      <c r="H1895" s="7" t="s">
        <v>5211</v>
      </c>
      <c r="I1895" s="9">
        <v>45307</v>
      </c>
    </row>
    <row r="1896" spans="1:9" x14ac:dyDescent="0.15">
      <c r="A1896" s="6">
        <v>1895</v>
      </c>
      <c r="B1896" s="7" t="s">
        <v>9</v>
      </c>
      <c r="C1896" s="8">
        <v>1883</v>
      </c>
      <c r="D1896" s="9">
        <v>45395</v>
      </c>
      <c r="E1896" s="13" t="str">
        <f>+HYPERLINK("http://trademark.i-assist.jp/data/china/image_1883th/76432402.pdf","76432402")</f>
        <v>76432402</v>
      </c>
      <c r="F1896" s="7" t="s">
        <v>5212</v>
      </c>
      <c r="G1896" s="7" t="s">
        <v>5213</v>
      </c>
      <c r="H1896" s="7" t="s">
        <v>5214</v>
      </c>
      <c r="I1896" s="9">
        <v>45307</v>
      </c>
    </row>
    <row r="1897" spans="1:9" x14ac:dyDescent="0.15">
      <c r="A1897" s="6">
        <v>1896</v>
      </c>
      <c r="B1897" s="7" t="s">
        <v>9</v>
      </c>
      <c r="C1897" s="8">
        <v>1883</v>
      </c>
      <c r="D1897" s="9">
        <v>45395</v>
      </c>
      <c r="E1897" s="13" t="str">
        <f>+HYPERLINK("http://trademark.i-assist.jp/data/china/image_1883th/76432575.pdf","76432575")</f>
        <v>76432575</v>
      </c>
      <c r="F1897" s="7" t="s">
        <v>5215</v>
      </c>
      <c r="G1897" s="7" t="s">
        <v>4466</v>
      </c>
      <c r="H1897" s="7" t="s">
        <v>5216</v>
      </c>
      <c r="I1897" s="9">
        <v>45307</v>
      </c>
    </row>
    <row r="1898" spans="1:9" x14ac:dyDescent="0.15">
      <c r="A1898" s="6">
        <v>1897</v>
      </c>
      <c r="B1898" s="7" t="s">
        <v>9</v>
      </c>
      <c r="C1898" s="8">
        <v>1883</v>
      </c>
      <c r="D1898" s="9">
        <v>45395</v>
      </c>
      <c r="E1898" s="13" t="str">
        <f>+HYPERLINK("http://trademark.i-assist.jp/data/china/image_1883th/76432580.pdf","76432580")</f>
        <v>76432580</v>
      </c>
      <c r="F1898" s="7" t="s">
        <v>5217</v>
      </c>
      <c r="G1898" s="7" t="s">
        <v>5218</v>
      </c>
      <c r="H1898" s="7" t="s">
        <v>5219</v>
      </c>
      <c r="I1898" s="9">
        <v>45307</v>
      </c>
    </row>
    <row r="1899" spans="1:9" ht="27" x14ac:dyDescent="0.15">
      <c r="A1899" s="6">
        <v>1898</v>
      </c>
      <c r="B1899" s="7" t="s">
        <v>9</v>
      </c>
      <c r="C1899" s="8">
        <v>1883</v>
      </c>
      <c r="D1899" s="9">
        <v>45395</v>
      </c>
      <c r="E1899" s="13" t="str">
        <f>+HYPERLINK("http://trademark.i-assist.jp/data/china/image_1883th/76432695.pdf","76432695")</f>
        <v>76432695</v>
      </c>
      <c r="F1899" s="7" t="s">
        <v>5220</v>
      </c>
      <c r="G1899" s="7" t="s">
        <v>5221</v>
      </c>
      <c r="H1899" s="7" t="s">
        <v>5222</v>
      </c>
      <c r="I1899" s="9">
        <v>45307</v>
      </c>
    </row>
    <row r="1900" spans="1:9" x14ac:dyDescent="0.15">
      <c r="A1900" s="6">
        <v>1899</v>
      </c>
      <c r="B1900" s="7" t="s">
        <v>9</v>
      </c>
      <c r="C1900" s="8">
        <v>1883</v>
      </c>
      <c r="D1900" s="9">
        <v>45395</v>
      </c>
      <c r="E1900" s="13" t="str">
        <f>+HYPERLINK("http://trademark.i-assist.jp/data/china/image_1883th/76432710.pdf","76432710")</f>
        <v>76432710</v>
      </c>
      <c r="F1900" s="7" t="s">
        <v>5223</v>
      </c>
      <c r="G1900" s="7" t="s">
        <v>4799</v>
      </c>
      <c r="H1900" s="7" t="s">
        <v>5224</v>
      </c>
      <c r="I1900" s="9">
        <v>45307</v>
      </c>
    </row>
    <row r="1901" spans="1:9" x14ac:dyDescent="0.15">
      <c r="A1901" s="6">
        <v>1900</v>
      </c>
      <c r="B1901" s="7" t="s">
        <v>9</v>
      </c>
      <c r="C1901" s="8">
        <v>1883</v>
      </c>
      <c r="D1901" s="9">
        <v>45395</v>
      </c>
      <c r="E1901" s="13" t="str">
        <f>+HYPERLINK("http://trademark.i-assist.jp/data/china/image_1883th/76432758.pdf","76432758")</f>
        <v>76432758</v>
      </c>
      <c r="F1901" s="7" t="s">
        <v>5225</v>
      </c>
      <c r="G1901" s="7" t="s">
        <v>2047</v>
      </c>
      <c r="H1901" s="7" t="s">
        <v>5226</v>
      </c>
      <c r="I1901" s="9">
        <v>45307</v>
      </c>
    </row>
    <row r="1902" spans="1:9" x14ac:dyDescent="0.15">
      <c r="A1902" s="6">
        <v>1901</v>
      </c>
      <c r="B1902" s="7" t="s">
        <v>9</v>
      </c>
      <c r="C1902" s="8">
        <v>1883</v>
      </c>
      <c r="D1902" s="9">
        <v>45395</v>
      </c>
      <c r="E1902" s="13" t="str">
        <f>+HYPERLINK("http://trademark.i-assist.jp/data/china/image_1883th/76432852.pdf","76432852")</f>
        <v>76432852</v>
      </c>
      <c r="F1902" s="7" t="s">
        <v>5227</v>
      </c>
      <c r="G1902" s="7" t="s">
        <v>5228</v>
      </c>
      <c r="H1902" s="7" t="s">
        <v>5229</v>
      </c>
      <c r="I1902" s="9">
        <v>45307</v>
      </c>
    </row>
    <row r="1903" spans="1:9" x14ac:dyDescent="0.15">
      <c r="A1903" s="6">
        <v>1902</v>
      </c>
      <c r="B1903" s="7" t="s">
        <v>9</v>
      </c>
      <c r="C1903" s="8">
        <v>1883</v>
      </c>
      <c r="D1903" s="9">
        <v>45395</v>
      </c>
      <c r="E1903" s="13" t="str">
        <f>+HYPERLINK("http://trademark.i-assist.jp/data/china/image_1883th/76432941.pdf","76432941")</f>
        <v>76432941</v>
      </c>
      <c r="F1903" s="7" t="s">
        <v>5230</v>
      </c>
      <c r="G1903" s="7" t="s">
        <v>4918</v>
      </c>
      <c r="H1903" s="7" t="s">
        <v>5231</v>
      </c>
      <c r="I1903" s="9">
        <v>45307</v>
      </c>
    </row>
    <row r="1904" spans="1:9" x14ac:dyDescent="0.15">
      <c r="A1904" s="6">
        <v>1903</v>
      </c>
      <c r="B1904" s="7" t="s">
        <v>9</v>
      </c>
      <c r="C1904" s="8">
        <v>1883</v>
      </c>
      <c r="D1904" s="9">
        <v>45395</v>
      </c>
      <c r="E1904" s="13" t="str">
        <f>+HYPERLINK("http://trademark.i-assist.jp/data/china/image_1883th/76432983.pdf","76432983")</f>
        <v>76432983</v>
      </c>
      <c r="F1904" s="7" t="s">
        <v>5232</v>
      </c>
      <c r="G1904" s="7" t="s">
        <v>4619</v>
      </c>
      <c r="H1904" s="7" t="s">
        <v>5233</v>
      </c>
      <c r="I1904" s="9">
        <v>45307</v>
      </c>
    </row>
    <row r="1905" spans="1:9" x14ac:dyDescent="0.15">
      <c r="A1905" s="6">
        <v>1904</v>
      </c>
      <c r="B1905" s="7" t="s">
        <v>9</v>
      </c>
      <c r="C1905" s="8">
        <v>1883</v>
      </c>
      <c r="D1905" s="9">
        <v>45395</v>
      </c>
      <c r="E1905" s="13" t="str">
        <f>+HYPERLINK("http://trademark.i-assist.jp/data/china/image_1883th/76433138.pdf","76433138")</f>
        <v>76433138</v>
      </c>
      <c r="F1905" s="7" t="s">
        <v>5234</v>
      </c>
      <c r="G1905" s="7" t="s">
        <v>713</v>
      </c>
      <c r="H1905" s="7" t="s">
        <v>5235</v>
      </c>
      <c r="I1905" s="9">
        <v>45307</v>
      </c>
    </row>
    <row r="1906" spans="1:9" x14ac:dyDescent="0.15">
      <c r="A1906" s="6">
        <v>1905</v>
      </c>
      <c r="B1906" s="7" t="s">
        <v>9</v>
      </c>
      <c r="C1906" s="8">
        <v>1883</v>
      </c>
      <c r="D1906" s="9">
        <v>45395</v>
      </c>
      <c r="E1906" s="13" t="str">
        <f>+HYPERLINK("http://trademark.i-assist.jp/data/china/image_1883th/76433280.pdf","76433280")</f>
        <v>76433280</v>
      </c>
      <c r="F1906" s="7" t="s">
        <v>5236</v>
      </c>
      <c r="G1906" s="7" t="s">
        <v>5237</v>
      </c>
      <c r="H1906" s="7" t="s">
        <v>5238</v>
      </c>
      <c r="I1906" s="9">
        <v>45308</v>
      </c>
    </row>
    <row r="1907" spans="1:9" x14ac:dyDescent="0.15">
      <c r="A1907" s="6">
        <v>1906</v>
      </c>
      <c r="B1907" s="7" t="s">
        <v>9</v>
      </c>
      <c r="C1907" s="8">
        <v>1883</v>
      </c>
      <c r="D1907" s="9">
        <v>45395</v>
      </c>
      <c r="E1907" s="13" t="str">
        <f>+HYPERLINK("http://trademark.i-assist.jp/data/china/image_1883th/76433402.pdf","76433402")</f>
        <v>76433402</v>
      </c>
      <c r="F1907" s="7" t="s">
        <v>5239</v>
      </c>
      <c r="G1907" s="7" t="s">
        <v>5240</v>
      </c>
      <c r="H1907" s="7" t="s">
        <v>5241</v>
      </c>
      <c r="I1907" s="9">
        <v>45308</v>
      </c>
    </row>
    <row r="1908" spans="1:9" x14ac:dyDescent="0.15">
      <c r="A1908" s="6">
        <v>1907</v>
      </c>
      <c r="B1908" s="7" t="s">
        <v>9</v>
      </c>
      <c r="C1908" s="8">
        <v>1883</v>
      </c>
      <c r="D1908" s="9">
        <v>45395</v>
      </c>
      <c r="E1908" s="13" t="str">
        <f>+HYPERLINK("http://trademark.i-assist.jp/data/china/image_1883th/76433757.pdf","76433757")</f>
        <v>76433757</v>
      </c>
      <c r="F1908" s="7" t="s">
        <v>5242</v>
      </c>
      <c r="G1908" s="7" t="s">
        <v>5243</v>
      </c>
      <c r="H1908" s="7" t="s">
        <v>5244</v>
      </c>
      <c r="I1908" s="9">
        <v>45308</v>
      </c>
    </row>
    <row r="1909" spans="1:9" x14ac:dyDescent="0.15">
      <c r="A1909" s="6">
        <v>1908</v>
      </c>
      <c r="B1909" s="7" t="s">
        <v>9</v>
      </c>
      <c r="C1909" s="8">
        <v>1883</v>
      </c>
      <c r="D1909" s="9">
        <v>45395</v>
      </c>
      <c r="E1909" s="13" t="str">
        <f>+HYPERLINK("http://trademark.i-assist.jp/data/china/image_1883th/76433827.pdf","76433827")</f>
        <v>76433827</v>
      </c>
      <c r="F1909" s="7" t="s">
        <v>5245</v>
      </c>
      <c r="G1909" s="7" t="s">
        <v>5246</v>
      </c>
      <c r="H1909" s="7" t="s">
        <v>5247</v>
      </c>
      <c r="I1909" s="9">
        <v>45308</v>
      </c>
    </row>
    <row r="1910" spans="1:9" x14ac:dyDescent="0.15">
      <c r="A1910" s="6">
        <v>1909</v>
      </c>
      <c r="B1910" s="7" t="s">
        <v>9</v>
      </c>
      <c r="C1910" s="8">
        <v>1883</v>
      </c>
      <c r="D1910" s="9">
        <v>45395</v>
      </c>
      <c r="E1910" s="13" t="str">
        <f>+HYPERLINK("http://trademark.i-assist.jp/data/china/image_1883th/76433836.pdf","76433836")</f>
        <v>76433836</v>
      </c>
      <c r="F1910" s="7" t="s">
        <v>5248</v>
      </c>
      <c r="G1910" s="7" t="s">
        <v>5249</v>
      </c>
      <c r="H1910" s="7" t="s">
        <v>5250</v>
      </c>
      <c r="I1910" s="9">
        <v>45308</v>
      </c>
    </row>
    <row r="1911" spans="1:9" x14ac:dyDescent="0.15">
      <c r="A1911" s="6">
        <v>1910</v>
      </c>
      <c r="B1911" s="7" t="s">
        <v>9</v>
      </c>
      <c r="C1911" s="8">
        <v>1883</v>
      </c>
      <c r="D1911" s="9">
        <v>45395</v>
      </c>
      <c r="E1911" s="13" t="str">
        <f>+HYPERLINK("http://trademark.i-assist.jp/data/china/image_1883th/76434028.pdf","76434028")</f>
        <v>76434028</v>
      </c>
      <c r="F1911" s="7" t="s">
        <v>5251</v>
      </c>
      <c r="G1911" s="7" t="s">
        <v>5252</v>
      </c>
      <c r="H1911" s="7" t="s">
        <v>5253</v>
      </c>
      <c r="I1911" s="9">
        <v>45308</v>
      </c>
    </row>
    <row r="1912" spans="1:9" ht="27" x14ac:dyDescent="0.15">
      <c r="A1912" s="6">
        <v>1911</v>
      </c>
      <c r="B1912" s="7" t="s">
        <v>9</v>
      </c>
      <c r="C1912" s="8">
        <v>1883</v>
      </c>
      <c r="D1912" s="9">
        <v>45395</v>
      </c>
      <c r="E1912" s="13" t="str">
        <f>+HYPERLINK("http://trademark.i-assist.jp/data/china/image_1883th/76434116.pdf","76434116")</f>
        <v>76434116</v>
      </c>
      <c r="F1912" s="7" t="s">
        <v>5254</v>
      </c>
      <c r="G1912" s="7" t="s">
        <v>5255</v>
      </c>
      <c r="H1912" s="7" t="s">
        <v>5256</v>
      </c>
      <c r="I1912" s="9">
        <v>45308</v>
      </c>
    </row>
    <row r="1913" spans="1:9" x14ac:dyDescent="0.15">
      <c r="A1913" s="6">
        <v>1912</v>
      </c>
      <c r="B1913" s="7" t="s">
        <v>9</v>
      </c>
      <c r="C1913" s="8">
        <v>1883</v>
      </c>
      <c r="D1913" s="9">
        <v>45395</v>
      </c>
      <c r="E1913" s="13" t="str">
        <f>+HYPERLINK("http://trademark.i-assist.jp/data/china/image_1883th/76434149.pdf","76434149")</f>
        <v>76434149</v>
      </c>
      <c r="F1913" s="7" t="s">
        <v>5257</v>
      </c>
      <c r="G1913" s="7" t="s">
        <v>5258</v>
      </c>
      <c r="H1913" s="7" t="s">
        <v>5259</v>
      </c>
      <c r="I1913" s="9">
        <v>45308</v>
      </c>
    </row>
    <row r="1914" spans="1:9" x14ac:dyDescent="0.15">
      <c r="A1914" s="6">
        <v>1913</v>
      </c>
      <c r="B1914" s="7" t="s">
        <v>9</v>
      </c>
      <c r="C1914" s="8">
        <v>1883</v>
      </c>
      <c r="D1914" s="9">
        <v>45395</v>
      </c>
      <c r="E1914" s="13" t="str">
        <f>+HYPERLINK("http://trademark.i-assist.jp/data/china/image_1883th/76434259.pdf","76434259")</f>
        <v>76434259</v>
      </c>
      <c r="F1914" s="7" t="s">
        <v>5260</v>
      </c>
      <c r="G1914" s="7" t="s">
        <v>5261</v>
      </c>
      <c r="H1914" s="7" t="s">
        <v>5262</v>
      </c>
      <c r="I1914" s="9">
        <v>45308</v>
      </c>
    </row>
    <row r="1915" spans="1:9" x14ac:dyDescent="0.15">
      <c r="A1915" s="6">
        <v>1914</v>
      </c>
      <c r="B1915" s="7" t="s">
        <v>9</v>
      </c>
      <c r="C1915" s="8">
        <v>1883</v>
      </c>
      <c r="D1915" s="9">
        <v>45395</v>
      </c>
      <c r="E1915" s="13" t="str">
        <f>+HYPERLINK("http://trademark.i-assist.jp/data/china/image_1883th/76434508.pdf","76434508")</f>
        <v>76434508</v>
      </c>
      <c r="F1915" s="7" t="s">
        <v>5263</v>
      </c>
      <c r="G1915" s="7" t="s">
        <v>5264</v>
      </c>
      <c r="H1915" s="7" t="s">
        <v>5265</v>
      </c>
      <c r="I1915" s="9">
        <v>45308</v>
      </c>
    </row>
    <row r="1916" spans="1:9" x14ac:dyDescent="0.15">
      <c r="A1916" s="6">
        <v>1915</v>
      </c>
      <c r="B1916" s="7" t="s">
        <v>9</v>
      </c>
      <c r="C1916" s="8">
        <v>1883</v>
      </c>
      <c r="D1916" s="9">
        <v>45395</v>
      </c>
      <c r="E1916" s="13" t="str">
        <f>+HYPERLINK("http://trademark.i-assist.jp/data/china/image_1883th/76434633.pdf","76434633")</f>
        <v>76434633</v>
      </c>
      <c r="F1916" s="7" t="s">
        <v>57</v>
      </c>
      <c r="G1916" s="7" t="s">
        <v>5266</v>
      </c>
      <c r="H1916" s="7" t="s">
        <v>5267</v>
      </c>
      <c r="I1916" s="9">
        <v>45308</v>
      </c>
    </row>
    <row r="1917" spans="1:9" x14ac:dyDescent="0.15">
      <c r="A1917" s="6">
        <v>1916</v>
      </c>
      <c r="B1917" s="7" t="s">
        <v>9</v>
      </c>
      <c r="C1917" s="8">
        <v>1883</v>
      </c>
      <c r="D1917" s="9">
        <v>45395</v>
      </c>
      <c r="E1917" s="13" t="str">
        <f>+HYPERLINK("http://trademark.i-assist.jp/data/china/image_1883th/76434838.pdf","76434838")</f>
        <v>76434838</v>
      </c>
      <c r="F1917" s="7" t="s">
        <v>5268</v>
      </c>
      <c r="G1917" s="7" t="s">
        <v>5269</v>
      </c>
      <c r="H1917" s="7" t="s">
        <v>5270</v>
      </c>
      <c r="I1917" s="9">
        <v>45308</v>
      </c>
    </row>
    <row r="1918" spans="1:9" x14ac:dyDescent="0.15">
      <c r="A1918" s="6">
        <v>1917</v>
      </c>
      <c r="B1918" s="7" t="s">
        <v>9</v>
      </c>
      <c r="C1918" s="8">
        <v>1883</v>
      </c>
      <c r="D1918" s="9">
        <v>45395</v>
      </c>
      <c r="E1918" s="13" t="str">
        <f>+HYPERLINK("http://trademark.i-assist.jp/data/china/image_1883th/76434941.pdf","76434941")</f>
        <v>76434941</v>
      </c>
      <c r="F1918" s="7" t="s">
        <v>5271</v>
      </c>
      <c r="G1918" s="7" t="s">
        <v>5272</v>
      </c>
      <c r="H1918" s="7" t="s">
        <v>5273</v>
      </c>
      <c r="I1918" s="9">
        <v>45308</v>
      </c>
    </row>
    <row r="1919" spans="1:9" x14ac:dyDescent="0.15">
      <c r="A1919" s="6">
        <v>1918</v>
      </c>
      <c r="B1919" s="7" t="s">
        <v>9</v>
      </c>
      <c r="C1919" s="8">
        <v>1883</v>
      </c>
      <c r="D1919" s="9">
        <v>45395</v>
      </c>
      <c r="E1919" s="13" t="str">
        <f>+HYPERLINK("http://trademark.i-assist.jp/data/china/image_1883th/76435017.pdf","76435017")</f>
        <v>76435017</v>
      </c>
      <c r="F1919" s="7" t="s">
        <v>5274</v>
      </c>
      <c r="G1919" s="7" t="s">
        <v>5275</v>
      </c>
      <c r="H1919" s="7" t="s">
        <v>5276</v>
      </c>
      <c r="I1919" s="9">
        <v>45308</v>
      </c>
    </row>
    <row r="1920" spans="1:9" x14ac:dyDescent="0.15">
      <c r="A1920" s="6">
        <v>1919</v>
      </c>
      <c r="B1920" s="7" t="s">
        <v>9</v>
      </c>
      <c r="C1920" s="8">
        <v>1883</v>
      </c>
      <c r="D1920" s="9">
        <v>45395</v>
      </c>
      <c r="E1920" s="13" t="str">
        <f>+HYPERLINK("http://trademark.i-assist.jp/data/china/image_1883th/76435125.pdf","76435125")</f>
        <v>76435125</v>
      </c>
      <c r="F1920" s="7" t="s">
        <v>5277</v>
      </c>
      <c r="G1920" s="7" t="s">
        <v>5278</v>
      </c>
      <c r="H1920" s="7" t="s">
        <v>5279</v>
      </c>
      <c r="I1920" s="9">
        <v>45308</v>
      </c>
    </row>
    <row r="1921" spans="1:9" x14ac:dyDescent="0.15">
      <c r="A1921" s="6">
        <v>1920</v>
      </c>
      <c r="B1921" s="7" t="s">
        <v>9</v>
      </c>
      <c r="C1921" s="8">
        <v>1883</v>
      </c>
      <c r="D1921" s="9">
        <v>45395</v>
      </c>
      <c r="E1921" s="13" t="str">
        <f>+HYPERLINK("http://trademark.i-assist.jp/data/china/image_1883th/76435214.pdf","76435214")</f>
        <v>76435214</v>
      </c>
      <c r="F1921" s="7" t="s">
        <v>5280</v>
      </c>
      <c r="G1921" s="7" t="s">
        <v>5281</v>
      </c>
      <c r="H1921" s="7" t="s">
        <v>5282</v>
      </c>
      <c r="I1921" s="9">
        <v>45308</v>
      </c>
    </row>
    <row r="1922" spans="1:9" x14ac:dyDescent="0.15">
      <c r="A1922" s="6">
        <v>1921</v>
      </c>
      <c r="B1922" s="7" t="s">
        <v>9</v>
      </c>
      <c r="C1922" s="8">
        <v>1883</v>
      </c>
      <c r="D1922" s="9">
        <v>45395</v>
      </c>
      <c r="E1922" s="13" t="str">
        <f>+HYPERLINK("http://trademark.i-assist.jp/data/china/image_1883th/76435324.pdf","76435324")</f>
        <v>76435324</v>
      </c>
      <c r="F1922" s="7" t="s">
        <v>5283</v>
      </c>
      <c r="G1922" s="7" t="s">
        <v>5284</v>
      </c>
      <c r="H1922" s="7" t="s">
        <v>5285</v>
      </c>
      <c r="I1922" s="9">
        <v>45308</v>
      </c>
    </row>
    <row r="1923" spans="1:9" x14ac:dyDescent="0.15">
      <c r="A1923" s="6">
        <v>1922</v>
      </c>
      <c r="B1923" s="7" t="s">
        <v>9</v>
      </c>
      <c r="C1923" s="8">
        <v>1883</v>
      </c>
      <c r="D1923" s="9">
        <v>45395</v>
      </c>
      <c r="E1923" s="13" t="str">
        <f>+HYPERLINK("http://trademark.i-assist.jp/data/china/image_1883th/76435339.pdf","76435339")</f>
        <v>76435339</v>
      </c>
      <c r="F1923" s="7" t="s">
        <v>5286</v>
      </c>
      <c r="G1923" s="7" t="s">
        <v>5287</v>
      </c>
      <c r="H1923" s="7" t="s">
        <v>5288</v>
      </c>
      <c r="I1923" s="9">
        <v>45308</v>
      </c>
    </row>
    <row r="1924" spans="1:9" x14ac:dyDescent="0.15">
      <c r="A1924" s="6">
        <v>1923</v>
      </c>
      <c r="B1924" s="7" t="s">
        <v>9</v>
      </c>
      <c r="C1924" s="8">
        <v>1883</v>
      </c>
      <c r="D1924" s="9">
        <v>45395</v>
      </c>
      <c r="E1924" s="13" t="str">
        <f>+HYPERLINK("http://trademark.i-assist.jp/data/china/image_1883th/76435403.pdf","76435403")</f>
        <v>76435403</v>
      </c>
      <c r="F1924" s="7" t="s">
        <v>57</v>
      </c>
      <c r="G1924" s="7" t="s">
        <v>5289</v>
      </c>
      <c r="H1924" s="7" t="s">
        <v>5290</v>
      </c>
      <c r="I1924" s="9">
        <v>45308</v>
      </c>
    </row>
    <row r="1925" spans="1:9" x14ac:dyDescent="0.15">
      <c r="A1925" s="6">
        <v>1924</v>
      </c>
      <c r="B1925" s="7" t="s">
        <v>9</v>
      </c>
      <c r="C1925" s="8">
        <v>1883</v>
      </c>
      <c r="D1925" s="9">
        <v>45395</v>
      </c>
      <c r="E1925" s="13" t="str">
        <f>+HYPERLINK("http://trademark.i-assist.jp/data/china/image_1883th/76435680.pdf","76435680")</f>
        <v>76435680</v>
      </c>
      <c r="F1925" s="7" t="s">
        <v>5291</v>
      </c>
      <c r="G1925" s="7" t="s">
        <v>5292</v>
      </c>
      <c r="H1925" s="7" t="s">
        <v>5293</v>
      </c>
      <c r="I1925" s="9">
        <v>45308</v>
      </c>
    </row>
    <row r="1926" spans="1:9" x14ac:dyDescent="0.15">
      <c r="A1926" s="6">
        <v>1925</v>
      </c>
      <c r="B1926" s="7" t="s">
        <v>9</v>
      </c>
      <c r="C1926" s="8">
        <v>1883</v>
      </c>
      <c r="D1926" s="9">
        <v>45395</v>
      </c>
      <c r="E1926" s="13" t="str">
        <f>+HYPERLINK("http://trademark.i-assist.jp/data/china/image_1883th/76435850.pdf","76435850")</f>
        <v>76435850</v>
      </c>
      <c r="F1926" s="7" t="s">
        <v>5294</v>
      </c>
      <c r="G1926" s="7" t="s">
        <v>5295</v>
      </c>
      <c r="H1926" s="7" t="s">
        <v>5296</v>
      </c>
      <c r="I1926" s="9">
        <v>45308</v>
      </c>
    </row>
    <row r="1927" spans="1:9" x14ac:dyDescent="0.15">
      <c r="A1927" s="6">
        <v>1926</v>
      </c>
      <c r="B1927" s="7" t="s">
        <v>9</v>
      </c>
      <c r="C1927" s="8">
        <v>1883</v>
      </c>
      <c r="D1927" s="9">
        <v>45395</v>
      </c>
      <c r="E1927" s="13" t="str">
        <f>+HYPERLINK("http://trademark.i-assist.jp/data/china/image_1883th/76436009.pdf","76436009")</f>
        <v>76436009</v>
      </c>
      <c r="F1927" s="7" t="s">
        <v>5297</v>
      </c>
      <c r="G1927" s="7" t="s">
        <v>5298</v>
      </c>
      <c r="H1927" s="7" t="s">
        <v>5299</v>
      </c>
      <c r="I1927" s="9">
        <v>45308</v>
      </c>
    </row>
    <row r="1928" spans="1:9" x14ac:dyDescent="0.15">
      <c r="A1928" s="6">
        <v>1927</v>
      </c>
      <c r="B1928" s="7" t="s">
        <v>9</v>
      </c>
      <c r="C1928" s="8">
        <v>1883</v>
      </c>
      <c r="D1928" s="9">
        <v>45395</v>
      </c>
      <c r="E1928" s="13" t="str">
        <f>+HYPERLINK("http://trademark.i-assist.jp/data/china/image_1883th/76436315.pdf","76436315")</f>
        <v>76436315</v>
      </c>
      <c r="F1928" s="7" t="s">
        <v>57</v>
      </c>
      <c r="G1928" s="7" t="s">
        <v>4166</v>
      </c>
      <c r="H1928" s="7" t="s">
        <v>5300</v>
      </c>
      <c r="I1928" s="9">
        <v>45308</v>
      </c>
    </row>
    <row r="1929" spans="1:9" x14ac:dyDescent="0.15">
      <c r="A1929" s="6">
        <v>1928</v>
      </c>
      <c r="B1929" s="7" t="s">
        <v>9</v>
      </c>
      <c r="C1929" s="8">
        <v>1883</v>
      </c>
      <c r="D1929" s="9">
        <v>45395</v>
      </c>
      <c r="E1929" s="13" t="str">
        <f>+HYPERLINK("http://trademark.i-assist.jp/data/china/image_1883th/76436472.pdf","76436472")</f>
        <v>76436472</v>
      </c>
      <c r="F1929" s="7" t="s">
        <v>5301</v>
      </c>
      <c r="G1929" s="7" t="s">
        <v>5302</v>
      </c>
      <c r="H1929" s="7" t="s">
        <v>5303</v>
      </c>
      <c r="I1929" s="9">
        <v>45308</v>
      </c>
    </row>
    <row r="1930" spans="1:9" x14ac:dyDescent="0.15">
      <c r="A1930" s="6">
        <v>1929</v>
      </c>
      <c r="B1930" s="7" t="s">
        <v>9</v>
      </c>
      <c r="C1930" s="8">
        <v>1883</v>
      </c>
      <c r="D1930" s="9">
        <v>45395</v>
      </c>
      <c r="E1930" s="13" t="str">
        <f>+HYPERLINK("http://trademark.i-assist.jp/data/china/image_1883th/76436499.pdf","76436499")</f>
        <v>76436499</v>
      </c>
      <c r="F1930" s="7" t="s">
        <v>5304</v>
      </c>
      <c r="G1930" s="7" t="s">
        <v>5305</v>
      </c>
      <c r="H1930" s="7" t="s">
        <v>5306</v>
      </c>
      <c r="I1930" s="9">
        <v>45308</v>
      </c>
    </row>
    <row r="1931" spans="1:9" ht="27" x14ac:dyDescent="0.15">
      <c r="A1931" s="6">
        <v>1930</v>
      </c>
      <c r="B1931" s="7" t="s">
        <v>9</v>
      </c>
      <c r="C1931" s="8">
        <v>1883</v>
      </c>
      <c r="D1931" s="9">
        <v>45395</v>
      </c>
      <c r="E1931" s="13" t="str">
        <f>+HYPERLINK("http://trademark.i-assist.jp/data/china/image_1883th/76436810.pdf","76436810")</f>
        <v>76436810</v>
      </c>
      <c r="F1931" s="7" t="s">
        <v>5307</v>
      </c>
      <c r="G1931" s="7" t="s">
        <v>5308</v>
      </c>
      <c r="H1931" s="7" t="s">
        <v>5309</v>
      </c>
      <c r="I1931" s="9">
        <v>45308</v>
      </c>
    </row>
    <row r="1932" spans="1:9" x14ac:dyDescent="0.15">
      <c r="A1932" s="6">
        <v>1931</v>
      </c>
      <c r="B1932" s="7" t="s">
        <v>9</v>
      </c>
      <c r="C1932" s="8">
        <v>1883</v>
      </c>
      <c r="D1932" s="9">
        <v>45395</v>
      </c>
      <c r="E1932" s="13" t="str">
        <f>+HYPERLINK("http://trademark.i-assist.jp/data/china/image_1883th/76436961.pdf","76436961")</f>
        <v>76436961</v>
      </c>
      <c r="F1932" s="7" t="s">
        <v>5310</v>
      </c>
      <c r="G1932" s="7" t="s">
        <v>5311</v>
      </c>
      <c r="H1932" s="7" t="s">
        <v>5312</v>
      </c>
      <c r="I1932" s="9">
        <v>45308</v>
      </c>
    </row>
    <row r="1933" spans="1:9" x14ac:dyDescent="0.15">
      <c r="A1933" s="6">
        <v>1932</v>
      </c>
      <c r="B1933" s="7" t="s">
        <v>9</v>
      </c>
      <c r="C1933" s="8">
        <v>1883</v>
      </c>
      <c r="D1933" s="9">
        <v>45395</v>
      </c>
      <c r="E1933" s="13" t="str">
        <f>+HYPERLINK("http://trademark.i-assist.jp/data/china/image_1883th/76437004.pdf","76437004")</f>
        <v>76437004</v>
      </c>
      <c r="F1933" s="7" t="s">
        <v>5313</v>
      </c>
      <c r="G1933" s="7" t="s">
        <v>5314</v>
      </c>
      <c r="H1933" s="7" t="s">
        <v>5315</v>
      </c>
      <c r="I1933" s="9">
        <v>45308</v>
      </c>
    </row>
    <row r="1934" spans="1:9" x14ac:dyDescent="0.15">
      <c r="A1934" s="6">
        <v>1933</v>
      </c>
      <c r="B1934" s="7" t="s">
        <v>9</v>
      </c>
      <c r="C1934" s="8">
        <v>1883</v>
      </c>
      <c r="D1934" s="9">
        <v>45395</v>
      </c>
      <c r="E1934" s="13" t="str">
        <f>+HYPERLINK("http://trademark.i-assist.jp/data/china/image_1883th/76437005.pdf","76437005")</f>
        <v>76437005</v>
      </c>
      <c r="F1934" s="7" t="s">
        <v>5316</v>
      </c>
      <c r="G1934" s="7" t="s">
        <v>5317</v>
      </c>
      <c r="H1934" s="7" t="s">
        <v>5318</v>
      </c>
      <c r="I1934" s="9">
        <v>45308</v>
      </c>
    </row>
    <row r="1935" spans="1:9" ht="27" x14ac:dyDescent="0.15">
      <c r="A1935" s="6">
        <v>1934</v>
      </c>
      <c r="B1935" s="7" t="s">
        <v>9</v>
      </c>
      <c r="C1935" s="8">
        <v>1883</v>
      </c>
      <c r="D1935" s="9">
        <v>45395</v>
      </c>
      <c r="E1935" s="13" t="str">
        <f>+HYPERLINK("http://trademark.i-assist.jp/data/china/image_1883th/76437087.pdf","76437087")</f>
        <v>76437087</v>
      </c>
      <c r="F1935" s="7" t="s">
        <v>5319</v>
      </c>
      <c r="G1935" s="7" t="s">
        <v>5320</v>
      </c>
      <c r="H1935" s="7" t="s">
        <v>5321</v>
      </c>
      <c r="I1935" s="9">
        <v>45308</v>
      </c>
    </row>
    <row r="1936" spans="1:9" x14ac:dyDescent="0.15">
      <c r="A1936" s="6">
        <v>1935</v>
      </c>
      <c r="B1936" s="7" t="s">
        <v>9</v>
      </c>
      <c r="C1936" s="8">
        <v>1883</v>
      </c>
      <c r="D1936" s="9">
        <v>45395</v>
      </c>
      <c r="E1936" s="13" t="str">
        <f>+HYPERLINK("http://trademark.i-assist.jp/data/china/image_1883th/76437247.pdf","76437247")</f>
        <v>76437247</v>
      </c>
      <c r="F1936" s="7" t="s">
        <v>5322</v>
      </c>
      <c r="G1936" s="7" t="s">
        <v>5323</v>
      </c>
      <c r="H1936" s="7" t="s">
        <v>5324</v>
      </c>
      <c r="I1936" s="9">
        <v>45308</v>
      </c>
    </row>
    <row r="1937" spans="1:9" x14ac:dyDescent="0.15">
      <c r="A1937" s="6">
        <v>1936</v>
      </c>
      <c r="B1937" s="7" t="s">
        <v>9</v>
      </c>
      <c r="C1937" s="8">
        <v>1883</v>
      </c>
      <c r="D1937" s="9">
        <v>45395</v>
      </c>
      <c r="E1937" s="13" t="str">
        <f>+HYPERLINK("http://trademark.i-assist.jp/data/china/image_1883th/76437310.pdf","76437310")</f>
        <v>76437310</v>
      </c>
      <c r="F1937" s="7" t="s">
        <v>5325</v>
      </c>
      <c r="G1937" s="7" t="s">
        <v>5326</v>
      </c>
      <c r="H1937" s="7" t="s">
        <v>5327</v>
      </c>
      <c r="I1937" s="9">
        <v>45308</v>
      </c>
    </row>
    <row r="1938" spans="1:9" x14ac:dyDescent="0.15">
      <c r="A1938" s="6">
        <v>1937</v>
      </c>
      <c r="B1938" s="7" t="s">
        <v>9</v>
      </c>
      <c r="C1938" s="8">
        <v>1883</v>
      </c>
      <c r="D1938" s="9">
        <v>45395</v>
      </c>
      <c r="E1938" s="13" t="str">
        <f>+HYPERLINK("http://trademark.i-assist.jp/data/china/image_1883th/76437346.pdf","76437346")</f>
        <v>76437346</v>
      </c>
      <c r="F1938" s="7" t="s">
        <v>5328</v>
      </c>
      <c r="G1938" s="7" t="s">
        <v>5329</v>
      </c>
      <c r="H1938" s="7" t="s">
        <v>5330</v>
      </c>
      <c r="I1938" s="9">
        <v>45308</v>
      </c>
    </row>
    <row r="1939" spans="1:9" ht="27" x14ac:dyDescent="0.15">
      <c r="A1939" s="6">
        <v>1938</v>
      </c>
      <c r="B1939" s="7" t="s">
        <v>9</v>
      </c>
      <c r="C1939" s="8">
        <v>1883</v>
      </c>
      <c r="D1939" s="9">
        <v>45395</v>
      </c>
      <c r="E1939" s="13" t="str">
        <f>+HYPERLINK("http://trademark.i-assist.jp/data/china/image_1883th/76437505.pdf","76437505")</f>
        <v>76437505</v>
      </c>
      <c r="F1939" s="7" t="s">
        <v>5331</v>
      </c>
      <c r="G1939" s="7" t="s">
        <v>5332</v>
      </c>
      <c r="H1939" s="7" t="s">
        <v>5333</v>
      </c>
      <c r="I1939" s="9">
        <v>45308</v>
      </c>
    </row>
    <row r="1940" spans="1:9" ht="27" x14ac:dyDescent="0.15">
      <c r="A1940" s="6">
        <v>1939</v>
      </c>
      <c r="B1940" s="7" t="s">
        <v>9</v>
      </c>
      <c r="C1940" s="8">
        <v>1883</v>
      </c>
      <c r="D1940" s="9">
        <v>45395</v>
      </c>
      <c r="E1940" s="13" t="str">
        <f>+HYPERLINK("http://trademark.i-assist.jp/data/china/image_1883th/76437544.pdf","76437544")</f>
        <v>76437544</v>
      </c>
      <c r="F1940" s="7" t="s">
        <v>5334</v>
      </c>
      <c r="G1940" s="7" t="s">
        <v>5335</v>
      </c>
      <c r="H1940" s="7" t="s">
        <v>5336</v>
      </c>
      <c r="I1940" s="9">
        <v>45308</v>
      </c>
    </row>
    <row r="1941" spans="1:9" x14ac:dyDescent="0.15">
      <c r="A1941" s="6">
        <v>1940</v>
      </c>
      <c r="B1941" s="7" t="s">
        <v>9</v>
      </c>
      <c r="C1941" s="8">
        <v>1883</v>
      </c>
      <c r="D1941" s="9">
        <v>45395</v>
      </c>
      <c r="E1941" s="13" t="str">
        <f>+HYPERLINK("http://trademark.i-assist.jp/data/china/image_1883th/76437641.pdf","76437641")</f>
        <v>76437641</v>
      </c>
      <c r="F1941" s="7" t="s">
        <v>57</v>
      </c>
      <c r="G1941" s="7" t="s">
        <v>5246</v>
      </c>
      <c r="H1941" s="7" t="s">
        <v>5337</v>
      </c>
      <c r="I1941" s="9">
        <v>45308</v>
      </c>
    </row>
    <row r="1942" spans="1:9" ht="27" x14ac:dyDescent="0.15">
      <c r="A1942" s="6">
        <v>1941</v>
      </c>
      <c r="B1942" s="7" t="s">
        <v>9</v>
      </c>
      <c r="C1942" s="8">
        <v>1883</v>
      </c>
      <c r="D1942" s="9">
        <v>45395</v>
      </c>
      <c r="E1942" s="13" t="str">
        <f>+HYPERLINK("http://trademark.i-assist.jp/data/china/image_1883th/76437799.pdf","76437799")</f>
        <v>76437799</v>
      </c>
      <c r="F1942" s="7" t="s">
        <v>5338</v>
      </c>
      <c r="G1942" s="7" t="s">
        <v>5339</v>
      </c>
      <c r="H1942" s="7" t="s">
        <v>5340</v>
      </c>
      <c r="I1942" s="9">
        <v>45308</v>
      </c>
    </row>
    <row r="1943" spans="1:9" x14ac:dyDescent="0.15">
      <c r="A1943" s="6">
        <v>1942</v>
      </c>
      <c r="B1943" s="7" t="s">
        <v>9</v>
      </c>
      <c r="C1943" s="8">
        <v>1883</v>
      </c>
      <c r="D1943" s="9">
        <v>45395</v>
      </c>
      <c r="E1943" s="13" t="str">
        <f>+HYPERLINK("http://trademark.i-assist.jp/data/china/image_1883th/76437973.pdf","76437973")</f>
        <v>76437973</v>
      </c>
      <c r="F1943" s="7" t="s">
        <v>5341</v>
      </c>
      <c r="G1943" s="7" t="s">
        <v>5342</v>
      </c>
      <c r="H1943" s="7" t="s">
        <v>5343</v>
      </c>
      <c r="I1943" s="9">
        <v>45308</v>
      </c>
    </row>
    <row r="1944" spans="1:9" x14ac:dyDescent="0.15">
      <c r="A1944" s="6">
        <v>1943</v>
      </c>
      <c r="B1944" s="7" t="s">
        <v>9</v>
      </c>
      <c r="C1944" s="8">
        <v>1883</v>
      </c>
      <c r="D1944" s="9">
        <v>45395</v>
      </c>
      <c r="E1944" s="13" t="str">
        <f>+HYPERLINK("http://trademark.i-assist.jp/data/china/image_1883th/76438087.pdf","76438087")</f>
        <v>76438087</v>
      </c>
      <c r="F1944" s="7" t="s">
        <v>5344</v>
      </c>
      <c r="G1944" s="7" t="s">
        <v>5345</v>
      </c>
      <c r="H1944" s="7" t="s">
        <v>5346</v>
      </c>
      <c r="I1944" s="9">
        <v>45308</v>
      </c>
    </row>
    <row r="1945" spans="1:9" ht="27" x14ac:dyDescent="0.15">
      <c r="A1945" s="6">
        <v>1944</v>
      </c>
      <c r="B1945" s="7" t="s">
        <v>9</v>
      </c>
      <c r="C1945" s="8">
        <v>1883</v>
      </c>
      <c r="D1945" s="9">
        <v>45395</v>
      </c>
      <c r="E1945" s="13" t="str">
        <f>+HYPERLINK("http://trademark.i-assist.jp/data/china/image_1883th/76438241.pdf","76438241")</f>
        <v>76438241</v>
      </c>
      <c r="F1945" s="7" t="s">
        <v>5347</v>
      </c>
      <c r="G1945" s="7" t="s">
        <v>5348</v>
      </c>
      <c r="H1945" s="7" t="s">
        <v>5349</v>
      </c>
      <c r="I1945" s="9">
        <v>45308</v>
      </c>
    </row>
    <row r="1946" spans="1:9" x14ac:dyDescent="0.15">
      <c r="A1946" s="6">
        <v>1945</v>
      </c>
      <c r="B1946" s="7" t="s">
        <v>9</v>
      </c>
      <c r="C1946" s="8">
        <v>1883</v>
      </c>
      <c r="D1946" s="9">
        <v>45395</v>
      </c>
      <c r="E1946" s="13" t="str">
        <f>+HYPERLINK("http://trademark.i-assist.jp/data/china/image_1883th/76438493.pdf","76438493")</f>
        <v>76438493</v>
      </c>
      <c r="F1946" s="7" t="s">
        <v>5350</v>
      </c>
      <c r="G1946" s="7" t="s">
        <v>5246</v>
      </c>
      <c r="H1946" s="7" t="s">
        <v>5351</v>
      </c>
      <c r="I1946" s="9">
        <v>45308</v>
      </c>
    </row>
    <row r="1947" spans="1:9" x14ac:dyDescent="0.15">
      <c r="A1947" s="6">
        <v>1946</v>
      </c>
      <c r="B1947" s="7" t="s">
        <v>9</v>
      </c>
      <c r="C1947" s="8">
        <v>1883</v>
      </c>
      <c r="D1947" s="9">
        <v>45395</v>
      </c>
      <c r="E1947" s="13" t="str">
        <f>+HYPERLINK("http://trademark.i-assist.jp/data/china/image_1883th/76438574.pdf","76438574")</f>
        <v>76438574</v>
      </c>
      <c r="F1947" s="7" t="s">
        <v>5352</v>
      </c>
      <c r="G1947" s="7" t="s">
        <v>5353</v>
      </c>
      <c r="H1947" s="7" t="s">
        <v>5354</v>
      </c>
      <c r="I1947" s="9">
        <v>45308</v>
      </c>
    </row>
    <row r="1948" spans="1:9" x14ac:dyDescent="0.15">
      <c r="A1948" s="6">
        <v>1947</v>
      </c>
      <c r="B1948" s="7" t="s">
        <v>9</v>
      </c>
      <c r="C1948" s="8">
        <v>1883</v>
      </c>
      <c r="D1948" s="9">
        <v>45395</v>
      </c>
      <c r="E1948" s="13" t="str">
        <f>+HYPERLINK("http://trademark.i-assist.jp/data/china/image_1883th/76438884.pdf","76438884")</f>
        <v>76438884</v>
      </c>
      <c r="F1948" s="7" t="s">
        <v>57</v>
      </c>
      <c r="G1948" s="7" t="s">
        <v>5355</v>
      </c>
      <c r="H1948" s="7" t="s">
        <v>5356</v>
      </c>
      <c r="I1948" s="9">
        <v>45308</v>
      </c>
    </row>
    <row r="1949" spans="1:9" ht="27" x14ac:dyDescent="0.15">
      <c r="A1949" s="6">
        <v>1948</v>
      </c>
      <c r="B1949" s="7" t="s">
        <v>9</v>
      </c>
      <c r="C1949" s="8">
        <v>1883</v>
      </c>
      <c r="D1949" s="9">
        <v>45395</v>
      </c>
      <c r="E1949" s="13" t="str">
        <f>+HYPERLINK("http://trademark.i-assist.jp/data/china/image_1883th/76438953.pdf","76438953")</f>
        <v>76438953</v>
      </c>
      <c r="F1949" s="7" t="s">
        <v>5357</v>
      </c>
      <c r="G1949" s="7" t="s">
        <v>5358</v>
      </c>
      <c r="H1949" s="7" t="s">
        <v>5359</v>
      </c>
      <c r="I1949" s="9">
        <v>45308</v>
      </c>
    </row>
    <row r="1950" spans="1:9" x14ac:dyDescent="0.15">
      <c r="A1950" s="6">
        <v>1949</v>
      </c>
      <c r="B1950" s="7" t="s">
        <v>9</v>
      </c>
      <c r="C1950" s="8">
        <v>1883</v>
      </c>
      <c r="D1950" s="9">
        <v>45395</v>
      </c>
      <c r="E1950" s="13" t="str">
        <f>+HYPERLINK("http://trademark.i-assist.jp/data/china/image_1883th/76438988.pdf","76438988")</f>
        <v>76438988</v>
      </c>
      <c r="F1950" s="7" t="s">
        <v>5360</v>
      </c>
      <c r="G1950" s="7" t="s">
        <v>5361</v>
      </c>
      <c r="H1950" s="7" t="s">
        <v>5362</v>
      </c>
      <c r="I1950" s="9">
        <v>45308</v>
      </c>
    </row>
    <row r="1951" spans="1:9" x14ac:dyDescent="0.15">
      <c r="A1951" s="6">
        <v>1950</v>
      </c>
      <c r="B1951" s="7" t="s">
        <v>9</v>
      </c>
      <c r="C1951" s="8">
        <v>1883</v>
      </c>
      <c r="D1951" s="9">
        <v>45395</v>
      </c>
      <c r="E1951" s="13" t="str">
        <f>+HYPERLINK("http://trademark.i-assist.jp/data/china/image_1883th/76439716.pdf","76439716")</f>
        <v>76439716</v>
      </c>
      <c r="F1951" s="7" t="s">
        <v>5363</v>
      </c>
      <c r="G1951" s="7" t="s">
        <v>5364</v>
      </c>
      <c r="H1951" s="7" t="s">
        <v>5365</v>
      </c>
      <c r="I1951" s="9">
        <v>45308</v>
      </c>
    </row>
    <row r="1952" spans="1:9" x14ac:dyDescent="0.15">
      <c r="A1952" s="6">
        <v>1951</v>
      </c>
      <c r="B1952" s="7" t="s">
        <v>9</v>
      </c>
      <c r="C1952" s="8">
        <v>1883</v>
      </c>
      <c r="D1952" s="9">
        <v>45395</v>
      </c>
      <c r="E1952" s="13" t="str">
        <f>+HYPERLINK("http://trademark.i-assist.jp/data/china/image_1883th/76440126.pdf","76440126")</f>
        <v>76440126</v>
      </c>
      <c r="F1952" s="7" t="s">
        <v>5366</v>
      </c>
      <c r="G1952" s="7" t="s">
        <v>5367</v>
      </c>
      <c r="H1952" s="7" t="s">
        <v>5368</v>
      </c>
      <c r="I1952" s="9">
        <v>45308</v>
      </c>
    </row>
    <row r="1953" spans="1:9" x14ac:dyDescent="0.15">
      <c r="A1953" s="6">
        <v>1952</v>
      </c>
      <c r="B1953" s="7" t="s">
        <v>9</v>
      </c>
      <c r="C1953" s="8">
        <v>1883</v>
      </c>
      <c r="D1953" s="9">
        <v>45395</v>
      </c>
      <c r="E1953" s="13" t="str">
        <f>+HYPERLINK("http://trademark.i-assist.jp/data/china/image_1883th/76440136.pdf","76440136")</f>
        <v>76440136</v>
      </c>
      <c r="F1953" s="7" t="s">
        <v>57</v>
      </c>
      <c r="G1953" s="7" t="s">
        <v>5369</v>
      </c>
      <c r="H1953" s="7" t="s">
        <v>5370</v>
      </c>
      <c r="I1953" s="9">
        <v>45308</v>
      </c>
    </row>
    <row r="1954" spans="1:9" x14ac:dyDescent="0.15">
      <c r="A1954" s="6">
        <v>1953</v>
      </c>
      <c r="B1954" s="7" t="s">
        <v>9</v>
      </c>
      <c r="C1954" s="8">
        <v>1883</v>
      </c>
      <c r="D1954" s="9">
        <v>45395</v>
      </c>
      <c r="E1954" s="13" t="str">
        <f>+HYPERLINK("http://trademark.i-assist.jp/data/china/image_1883th/76440336.pdf","76440336")</f>
        <v>76440336</v>
      </c>
      <c r="F1954" s="7" t="s">
        <v>5371</v>
      </c>
      <c r="G1954" s="7" t="s">
        <v>5240</v>
      </c>
      <c r="H1954" s="7" t="s">
        <v>5372</v>
      </c>
      <c r="I1954" s="9">
        <v>45308</v>
      </c>
    </row>
    <row r="1955" spans="1:9" x14ac:dyDescent="0.15">
      <c r="A1955" s="6">
        <v>1954</v>
      </c>
      <c r="B1955" s="7" t="s">
        <v>9</v>
      </c>
      <c r="C1955" s="8">
        <v>1883</v>
      </c>
      <c r="D1955" s="9">
        <v>45395</v>
      </c>
      <c r="E1955" s="13" t="str">
        <f>+HYPERLINK("http://trademark.i-assist.jp/data/china/image_1883th/76440487.pdf","76440487")</f>
        <v>76440487</v>
      </c>
      <c r="F1955" s="7" t="s">
        <v>5373</v>
      </c>
      <c r="G1955" s="7" t="s">
        <v>5374</v>
      </c>
      <c r="H1955" s="7" t="s">
        <v>5375</v>
      </c>
      <c r="I1955" s="9">
        <v>45308</v>
      </c>
    </row>
    <row r="1956" spans="1:9" x14ac:dyDescent="0.15">
      <c r="A1956" s="6">
        <v>1955</v>
      </c>
      <c r="B1956" s="7" t="s">
        <v>9</v>
      </c>
      <c r="C1956" s="8">
        <v>1883</v>
      </c>
      <c r="D1956" s="9">
        <v>45395</v>
      </c>
      <c r="E1956" s="13" t="str">
        <f>+HYPERLINK("http://trademark.i-assist.jp/data/china/image_1883th/76440687.pdf","76440687")</f>
        <v>76440687</v>
      </c>
      <c r="F1956" s="7" t="s">
        <v>5376</v>
      </c>
      <c r="G1956" s="7" t="s">
        <v>5240</v>
      </c>
      <c r="H1956" s="7" t="s">
        <v>5377</v>
      </c>
      <c r="I1956" s="9">
        <v>45308</v>
      </c>
    </row>
    <row r="1957" spans="1:9" ht="27" x14ac:dyDescent="0.15">
      <c r="A1957" s="6">
        <v>1956</v>
      </c>
      <c r="B1957" s="7" t="s">
        <v>9</v>
      </c>
      <c r="C1957" s="8">
        <v>1883</v>
      </c>
      <c r="D1957" s="9">
        <v>45395</v>
      </c>
      <c r="E1957" s="13" t="str">
        <f>+HYPERLINK("http://trademark.i-assist.jp/data/china/image_1883th/76440888.pdf","76440888")</f>
        <v>76440888</v>
      </c>
      <c r="F1957" s="7" t="s">
        <v>5378</v>
      </c>
      <c r="G1957" s="7" t="s">
        <v>5379</v>
      </c>
      <c r="H1957" s="7" t="s">
        <v>5380</v>
      </c>
      <c r="I1957" s="9">
        <v>45308</v>
      </c>
    </row>
    <row r="1958" spans="1:9" x14ac:dyDescent="0.15">
      <c r="A1958" s="6">
        <v>1957</v>
      </c>
      <c r="B1958" s="7" t="s">
        <v>9</v>
      </c>
      <c r="C1958" s="8">
        <v>1883</v>
      </c>
      <c r="D1958" s="9">
        <v>45395</v>
      </c>
      <c r="E1958" s="13" t="str">
        <f>+HYPERLINK("http://trademark.i-assist.jp/data/china/image_1883th/76441040.pdf","76441040")</f>
        <v>76441040</v>
      </c>
      <c r="F1958" s="7" t="s">
        <v>5381</v>
      </c>
      <c r="G1958" s="7" t="s">
        <v>5382</v>
      </c>
      <c r="H1958" s="7" t="s">
        <v>5383</v>
      </c>
      <c r="I1958" s="9">
        <v>45308</v>
      </c>
    </row>
    <row r="1959" spans="1:9" x14ac:dyDescent="0.15">
      <c r="A1959" s="6">
        <v>1958</v>
      </c>
      <c r="B1959" s="7" t="s">
        <v>9</v>
      </c>
      <c r="C1959" s="8">
        <v>1883</v>
      </c>
      <c r="D1959" s="9">
        <v>45395</v>
      </c>
      <c r="E1959" s="13" t="str">
        <f>+HYPERLINK("http://trademark.i-assist.jp/data/china/image_1883th/76441050.pdf","76441050")</f>
        <v>76441050</v>
      </c>
      <c r="F1959" s="7" t="s">
        <v>57</v>
      </c>
      <c r="G1959" s="7" t="s">
        <v>5369</v>
      </c>
      <c r="H1959" s="7" t="s">
        <v>5384</v>
      </c>
      <c r="I1959" s="9">
        <v>45308</v>
      </c>
    </row>
    <row r="1960" spans="1:9" x14ac:dyDescent="0.15">
      <c r="A1960" s="6">
        <v>1959</v>
      </c>
      <c r="B1960" s="7" t="s">
        <v>9</v>
      </c>
      <c r="C1960" s="8">
        <v>1883</v>
      </c>
      <c r="D1960" s="9">
        <v>45395</v>
      </c>
      <c r="E1960" s="13" t="str">
        <f>+HYPERLINK("http://trademark.i-assist.jp/data/china/image_1883th/76441117.pdf","76441117")</f>
        <v>76441117</v>
      </c>
      <c r="F1960" s="7" t="s">
        <v>5385</v>
      </c>
      <c r="G1960" s="7" t="s">
        <v>5386</v>
      </c>
      <c r="H1960" s="7" t="s">
        <v>5387</v>
      </c>
      <c r="I1960" s="9">
        <v>45308</v>
      </c>
    </row>
    <row r="1961" spans="1:9" x14ac:dyDescent="0.15">
      <c r="A1961" s="6">
        <v>1960</v>
      </c>
      <c r="B1961" s="7" t="s">
        <v>9</v>
      </c>
      <c r="C1961" s="8">
        <v>1883</v>
      </c>
      <c r="D1961" s="9">
        <v>45395</v>
      </c>
      <c r="E1961" s="13" t="str">
        <f>+HYPERLINK("http://trademark.i-assist.jp/data/china/image_1883th/76441140.pdf","76441140")</f>
        <v>76441140</v>
      </c>
      <c r="F1961" s="7" t="s">
        <v>5388</v>
      </c>
      <c r="G1961" s="7" t="s">
        <v>5389</v>
      </c>
      <c r="H1961" s="7" t="s">
        <v>5390</v>
      </c>
      <c r="I1961" s="9">
        <v>45308</v>
      </c>
    </row>
    <row r="1962" spans="1:9" ht="27" x14ac:dyDescent="0.15">
      <c r="A1962" s="6">
        <v>1961</v>
      </c>
      <c r="B1962" s="7" t="s">
        <v>9</v>
      </c>
      <c r="C1962" s="8">
        <v>1883</v>
      </c>
      <c r="D1962" s="9">
        <v>45395</v>
      </c>
      <c r="E1962" s="13" t="str">
        <f>+HYPERLINK("http://trademark.i-assist.jp/data/china/image_1883th/76441189.pdf","76441189")</f>
        <v>76441189</v>
      </c>
      <c r="F1962" s="7" t="s">
        <v>5391</v>
      </c>
      <c r="G1962" s="7" t="s">
        <v>2676</v>
      </c>
      <c r="H1962" s="7" t="s">
        <v>5392</v>
      </c>
      <c r="I1962" s="9">
        <v>45308</v>
      </c>
    </row>
    <row r="1963" spans="1:9" x14ac:dyDescent="0.15">
      <c r="A1963" s="6">
        <v>1962</v>
      </c>
      <c r="B1963" s="7" t="s">
        <v>9</v>
      </c>
      <c r="C1963" s="8">
        <v>1883</v>
      </c>
      <c r="D1963" s="9">
        <v>45395</v>
      </c>
      <c r="E1963" s="13" t="str">
        <f>+HYPERLINK("http://trademark.i-assist.jp/data/china/image_1883th/76441477.pdf","76441477")</f>
        <v>76441477</v>
      </c>
      <c r="F1963" s="7" t="s">
        <v>5393</v>
      </c>
      <c r="G1963" s="7" t="s">
        <v>5394</v>
      </c>
      <c r="H1963" s="7" t="s">
        <v>5395</v>
      </c>
      <c r="I1963" s="9">
        <v>45308</v>
      </c>
    </row>
    <row r="1964" spans="1:9" x14ac:dyDescent="0.15">
      <c r="A1964" s="6">
        <v>1963</v>
      </c>
      <c r="B1964" s="7" t="s">
        <v>9</v>
      </c>
      <c r="C1964" s="8">
        <v>1883</v>
      </c>
      <c r="D1964" s="9">
        <v>45395</v>
      </c>
      <c r="E1964" s="13" t="str">
        <f>+HYPERLINK("http://trademark.i-assist.jp/data/china/image_1883th/76441505.pdf","76441505")</f>
        <v>76441505</v>
      </c>
      <c r="F1964" s="7" t="s">
        <v>5396</v>
      </c>
      <c r="G1964" s="7" t="s">
        <v>5397</v>
      </c>
      <c r="H1964" s="7" t="s">
        <v>5398</v>
      </c>
      <c r="I1964" s="9">
        <v>45308</v>
      </c>
    </row>
    <row r="1965" spans="1:9" x14ac:dyDescent="0.15">
      <c r="A1965" s="6">
        <v>1964</v>
      </c>
      <c r="B1965" s="7" t="s">
        <v>9</v>
      </c>
      <c r="C1965" s="8">
        <v>1883</v>
      </c>
      <c r="D1965" s="9">
        <v>45395</v>
      </c>
      <c r="E1965" s="13" t="str">
        <f>+HYPERLINK("http://trademark.i-assist.jp/data/china/image_1883th/76441570.pdf","76441570")</f>
        <v>76441570</v>
      </c>
      <c r="F1965" s="7" t="s">
        <v>5399</v>
      </c>
      <c r="G1965" s="7" t="s">
        <v>5400</v>
      </c>
      <c r="H1965" s="7" t="s">
        <v>5401</v>
      </c>
      <c r="I1965" s="9">
        <v>45308</v>
      </c>
    </row>
    <row r="1966" spans="1:9" x14ac:dyDescent="0.15">
      <c r="A1966" s="6">
        <v>1965</v>
      </c>
      <c r="B1966" s="7" t="s">
        <v>9</v>
      </c>
      <c r="C1966" s="8">
        <v>1883</v>
      </c>
      <c r="D1966" s="9">
        <v>45395</v>
      </c>
      <c r="E1966" s="13" t="str">
        <f>+HYPERLINK("http://trademark.i-assist.jp/data/china/image_1883th/76441664.pdf","76441664")</f>
        <v>76441664</v>
      </c>
      <c r="F1966" s="7" t="s">
        <v>5402</v>
      </c>
      <c r="G1966" s="7" t="s">
        <v>5246</v>
      </c>
      <c r="H1966" s="7" t="s">
        <v>5403</v>
      </c>
      <c r="I1966" s="9">
        <v>45308</v>
      </c>
    </row>
    <row r="1967" spans="1:9" x14ac:dyDescent="0.15">
      <c r="A1967" s="6">
        <v>1966</v>
      </c>
      <c r="B1967" s="7" t="s">
        <v>9</v>
      </c>
      <c r="C1967" s="8">
        <v>1883</v>
      </c>
      <c r="D1967" s="9">
        <v>45395</v>
      </c>
      <c r="E1967" s="13" t="str">
        <f>+HYPERLINK("http://trademark.i-assist.jp/data/china/image_1883th/76441679.pdf","76441679")</f>
        <v>76441679</v>
      </c>
      <c r="F1967" s="7" t="s">
        <v>5404</v>
      </c>
      <c r="G1967" s="7" t="s">
        <v>5405</v>
      </c>
      <c r="H1967" s="7" t="s">
        <v>5406</v>
      </c>
      <c r="I1967" s="9">
        <v>45308</v>
      </c>
    </row>
    <row r="1968" spans="1:9" x14ac:dyDescent="0.15">
      <c r="A1968" s="6">
        <v>1967</v>
      </c>
      <c r="B1968" s="7" t="s">
        <v>9</v>
      </c>
      <c r="C1968" s="8">
        <v>1883</v>
      </c>
      <c r="D1968" s="9">
        <v>45395</v>
      </c>
      <c r="E1968" s="13" t="str">
        <f>+HYPERLINK("http://trademark.i-assist.jp/data/china/image_1883th/76441705.pdf","76441705")</f>
        <v>76441705</v>
      </c>
      <c r="F1968" s="7" t="s">
        <v>5407</v>
      </c>
      <c r="G1968" s="7" t="s">
        <v>5408</v>
      </c>
      <c r="H1968" s="7" t="s">
        <v>5409</v>
      </c>
      <c r="I1968" s="9">
        <v>45308</v>
      </c>
    </row>
    <row r="1969" spans="1:9" ht="27" x14ac:dyDescent="0.15">
      <c r="A1969" s="6">
        <v>1968</v>
      </c>
      <c r="B1969" s="7" t="s">
        <v>9</v>
      </c>
      <c r="C1969" s="8">
        <v>1883</v>
      </c>
      <c r="D1969" s="9">
        <v>45395</v>
      </c>
      <c r="E1969" s="13" t="str">
        <f>+HYPERLINK("http://trademark.i-assist.jp/data/china/image_1883th/76441783.pdf","76441783")</f>
        <v>76441783</v>
      </c>
      <c r="F1969" s="7" t="s">
        <v>5410</v>
      </c>
      <c r="G1969" s="7" t="s">
        <v>5411</v>
      </c>
      <c r="H1969" s="7" t="s">
        <v>5412</v>
      </c>
      <c r="I1969" s="9">
        <v>45308</v>
      </c>
    </row>
    <row r="1970" spans="1:9" x14ac:dyDescent="0.15">
      <c r="A1970" s="6">
        <v>1969</v>
      </c>
      <c r="B1970" s="7" t="s">
        <v>9</v>
      </c>
      <c r="C1970" s="8">
        <v>1883</v>
      </c>
      <c r="D1970" s="9">
        <v>45395</v>
      </c>
      <c r="E1970" s="13" t="str">
        <f>+HYPERLINK("http://trademark.i-assist.jp/data/china/image_1883th/76441880.pdf","76441880")</f>
        <v>76441880</v>
      </c>
      <c r="F1970" s="7" t="s">
        <v>5413</v>
      </c>
      <c r="G1970" s="7" t="s">
        <v>5414</v>
      </c>
      <c r="H1970" s="7" t="s">
        <v>5415</v>
      </c>
      <c r="I1970" s="9">
        <v>45308</v>
      </c>
    </row>
    <row r="1971" spans="1:9" x14ac:dyDescent="0.15">
      <c r="A1971" s="6">
        <v>1970</v>
      </c>
      <c r="B1971" s="7" t="s">
        <v>9</v>
      </c>
      <c r="C1971" s="8">
        <v>1883</v>
      </c>
      <c r="D1971" s="9">
        <v>45395</v>
      </c>
      <c r="E1971" s="13" t="str">
        <f>+HYPERLINK("http://trademark.i-assist.jp/data/china/image_1883th/76441937.pdf","76441937")</f>
        <v>76441937</v>
      </c>
      <c r="F1971" s="7" t="s">
        <v>5416</v>
      </c>
      <c r="G1971" s="7" t="s">
        <v>5417</v>
      </c>
      <c r="H1971" s="7" t="s">
        <v>5418</v>
      </c>
      <c r="I1971" s="9">
        <v>45308</v>
      </c>
    </row>
    <row r="1972" spans="1:9" x14ac:dyDescent="0.15">
      <c r="A1972" s="6">
        <v>1971</v>
      </c>
      <c r="B1972" s="7" t="s">
        <v>9</v>
      </c>
      <c r="C1972" s="8">
        <v>1883</v>
      </c>
      <c r="D1972" s="9">
        <v>45395</v>
      </c>
      <c r="E1972" s="13" t="str">
        <f>+HYPERLINK("http://trademark.i-assist.jp/data/china/image_1883th/76441940.pdf","76441940")</f>
        <v>76441940</v>
      </c>
      <c r="F1972" s="7" t="s">
        <v>5419</v>
      </c>
      <c r="G1972" s="7" t="s">
        <v>5420</v>
      </c>
      <c r="H1972" s="7" t="s">
        <v>5421</v>
      </c>
      <c r="I1972" s="9">
        <v>45308</v>
      </c>
    </row>
    <row r="1973" spans="1:9" x14ac:dyDescent="0.15">
      <c r="A1973" s="6">
        <v>1972</v>
      </c>
      <c r="B1973" s="7" t="s">
        <v>9</v>
      </c>
      <c r="C1973" s="8">
        <v>1883</v>
      </c>
      <c r="D1973" s="9">
        <v>45395</v>
      </c>
      <c r="E1973" s="13" t="str">
        <f>+HYPERLINK("http://trademark.i-assist.jp/data/china/image_1883th/76442073.pdf","76442073")</f>
        <v>76442073</v>
      </c>
      <c r="F1973" s="7" t="s">
        <v>5422</v>
      </c>
      <c r="G1973" s="7" t="s">
        <v>5423</v>
      </c>
      <c r="H1973" s="7" t="s">
        <v>5424</v>
      </c>
      <c r="I1973" s="9">
        <v>45308</v>
      </c>
    </row>
    <row r="1974" spans="1:9" ht="27" x14ac:dyDescent="0.15">
      <c r="A1974" s="6">
        <v>1973</v>
      </c>
      <c r="B1974" s="7" t="s">
        <v>9</v>
      </c>
      <c r="C1974" s="8">
        <v>1883</v>
      </c>
      <c r="D1974" s="9">
        <v>45395</v>
      </c>
      <c r="E1974" s="13" t="str">
        <f>+HYPERLINK("http://trademark.i-assist.jp/data/china/image_1883th/76442361.pdf","76442361")</f>
        <v>76442361</v>
      </c>
      <c r="F1974" s="7" t="s">
        <v>5425</v>
      </c>
      <c r="G1974" s="7" t="s">
        <v>5426</v>
      </c>
      <c r="H1974" s="7" t="s">
        <v>5427</v>
      </c>
      <c r="I1974" s="9">
        <v>45308</v>
      </c>
    </row>
    <row r="1975" spans="1:9" x14ac:dyDescent="0.15">
      <c r="A1975" s="6">
        <v>1974</v>
      </c>
      <c r="B1975" s="7" t="s">
        <v>9</v>
      </c>
      <c r="C1975" s="8">
        <v>1883</v>
      </c>
      <c r="D1975" s="9">
        <v>45395</v>
      </c>
      <c r="E1975" s="13" t="str">
        <f>+HYPERLINK("http://trademark.i-assist.jp/data/china/image_1883th/76442362.pdf","76442362")</f>
        <v>76442362</v>
      </c>
      <c r="F1975" s="7" t="s">
        <v>5428</v>
      </c>
      <c r="G1975" s="7" t="s">
        <v>5429</v>
      </c>
      <c r="H1975" s="7" t="s">
        <v>5430</v>
      </c>
      <c r="I1975" s="9">
        <v>45308</v>
      </c>
    </row>
    <row r="1976" spans="1:9" x14ac:dyDescent="0.15">
      <c r="A1976" s="6">
        <v>1975</v>
      </c>
      <c r="B1976" s="7" t="s">
        <v>9</v>
      </c>
      <c r="C1976" s="8">
        <v>1883</v>
      </c>
      <c r="D1976" s="9">
        <v>45395</v>
      </c>
      <c r="E1976" s="13" t="str">
        <f>+HYPERLINK("http://trademark.i-assist.jp/data/china/image_1883th/76442453.pdf","76442453")</f>
        <v>76442453</v>
      </c>
      <c r="F1976" s="7" t="s">
        <v>5431</v>
      </c>
      <c r="G1976" s="7" t="s">
        <v>5432</v>
      </c>
      <c r="H1976" s="7" t="s">
        <v>5433</v>
      </c>
      <c r="I1976" s="9">
        <v>45308</v>
      </c>
    </row>
    <row r="1977" spans="1:9" x14ac:dyDescent="0.15">
      <c r="A1977" s="6">
        <v>1976</v>
      </c>
      <c r="B1977" s="7" t="s">
        <v>9</v>
      </c>
      <c r="C1977" s="8">
        <v>1883</v>
      </c>
      <c r="D1977" s="9">
        <v>45395</v>
      </c>
      <c r="E1977" s="13" t="str">
        <f>+HYPERLINK("http://trademark.i-assist.jp/data/china/image_1883th/76442533.pdf","76442533")</f>
        <v>76442533</v>
      </c>
      <c r="F1977" s="7" t="s">
        <v>5434</v>
      </c>
      <c r="G1977" s="7" t="s">
        <v>5435</v>
      </c>
      <c r="H1977" s="7" t="s">
        <v>5436</v>
      </c>
      <c r="I1977" s="9">
        <v>45308</v>
      </c>
    </row>
    <row r="1978" spans="1:9" x14ac:dyDescent="0.15">
      <c r="A1978" s="6">
        <v>1977</v>
      </c>
      <c r="B1978" s="7" t="s">
        <v>9</v>
      </c>
      <c r="C1978" s="8">
        <v>1883</v>
      </c>
      <c r="D1978" s="9">
        <v>45395</v>
      </c>
      <c r="E1978" s="13" t="str">
        <f>+HYPERLINK("http://trademark.i-assist.jp/data/china/image_1883th/76442832.pdf","76442832")</f>
        <v>76442832</v>
      </c>
      <c r="F1978" s="7" t="s">
        <v>5437</v>
      </c>
      <c r="G1978" s="7" t="s">
        <v>5438</v>
      </c>
      <c r="H1978" s="7" t="s">
        <v>5439</v>
      </c>
      <c r="I1978" s="9">
        <v>45308</v>
      </c>
    </row>
    <row r="1979" spans="1:9" x14ac:dyDescent="0.15">
      <c r="A1979" s="6">
        <v>1978</v>
      </c>
      <c r="B1979" s="7" t="s">
        <v>9</v>
      </c>
      <c r="C1979" s="8">
        <v>1883</v>
      </c>
      <c r="D1979" s="9">
        <v>45395</v>
      </c>
      <c r="E1979" s="13" t="str">
        <f>+HYPERLINK("http://trademark.i-assist.jp/data/china/image_1883th/76443108.pdf","76443108")</f>
        <v>76443108</v>
      </c>
      <c r="F1979" s="7" t="s">
        <v>5440</v>
      </c>
      <c r="G1979" s="7" t="s">
        <v>5441</v>
      </c>
      <c r="H1979" s="7" t="s">
        <v>5442</v>
      </c>
      <c r="I1979" s="9">
        <v>45308</v>
      </c>
    </row>
    <row r="1980" spans="1:9" x14ac:dyDescent="0.15">
      <c r="A1980" s="6">
        <v>1979</v>
      </c>
      <c r="B1980" s="7" t="s">
        <v>9</v>
      </c>
      <c r="C1980" s="8">
        <v>1883</v>
      </c>
      <c r="D1980" s="9">
        <v>45395</v>
      </c>
      <c r="E1980" s="13" t="str">
        <f>+HYPERLINK("http://trademark.i-assist.jp/data/china/image_1883th/76443115.pdf","76443115")</f>
        <v>76443115</v>
      </c>
      <c r="F1980" s="7" t="s">
        <v>5443</v>
      </c>
      <c r="G1980" s="7" t="s">
        <v>5444</v>
      </c>
      <c r="H1980" s="7" t="s">
        <v>5445</v>
      </c>
      <c r="I1980" s="9">
        <v>45308</v>
      </c>
    </row>
    <row r="1981" spans="1:9" ht="27" x14ac:dyDescent="0.15">
      <c r="A1981" s="6">
        <v>1980</v>
      </c>
      <c r="B1981" s="7" t="s">
        <v>9</v>
      </c>
      <c r="C1981" s="8">
        <v>1883</v>
      </c>
      <c r="D1981" s="9">
        <v>45395</v>
      </c>
      <c r="E1981" s="13" t="str">
        <f>+HYPERLINK("http://trademark.i-assist.jp/data/china/image_1883th/76443176.pdf","76443176")</f>
        <v>76443176</v>
      </c>
      <c r="F1981" s="7" t="s">
        <v>5446</v>
      </c>
      <c r="G1981" s="7" t="s">
        <v>5447</v>
      </c>
      <c r="H1981" s="7" t="s">
        <v>5448</v>
      </c>
      <c r="I1981" s="9">
        <v>45308</v>
      </c>
    </row>
    <row r="1982" spans="1:9" x14ac:dyDescent="0.15">
      <c r="A1982" s="6">
        <v>1981</v>
      </c>
      <c r="B1982" s="7" t="s">
        <v>9</v>
      </c>
      <c r="C1982" s="8">
        <v>1883</v>
      </c>
      <c r="D1982" s="9">
        <v>45395</v>
      </c>
      <c r="E1982" s="13" t="str">
        <f>+HYPERLINK("http://trademark.i-assist.jp/data/china/image_1883th/76443240.pdf","76443240")</f>
        <v>76443240</v>
      </c>
      <c r="F1982" s="7" t="s">
        <v>5449</v>
      </c>
      <c r="G1982" s="7" t="s">
        <v>5450</v>
      </c>
      <c r="H1982" s="7" t="s">
        <v>5451</v>
      </c>
      <c r="I1982" s="9">
        <v>45308</v>
      </c>
    </row>
    <row r="1983" spans="1:9" x14ac:dyDescent="0.15">
      <c r="A1983" s="6">
        <v>1982</v>
      </c>
      <c r="B1983" s="7" t="s">
        <v>9</v>
      </c>
      <c r="C1983" s="8">
        <v>1883</v>
      </c>
      <c r="D1983" s="9">
        <v>45395</v>
      </c>
      <c r="E1983" s="13" t="str">
        <f>+HYPERLINK("http://trademark.i-assist.jp/data/china/image_1883th/76443368.pdf","76443368")</f>
        <v>76443368</v>
      </c>
      <c r="F1983" s="7" t="s">
        <v>5452</v>
      </c>
      <c r="G1983" s="7" t="s">
        <v>5453</v>
      </c>
      <c r="H1983" s="7" t="s">
        <v>5454</v>
      </c>
      <c r="I1983" s="9">
        <v>45308</v>
      </c>
    </row>
    <row r="1984" spans="1:9" x14ac:dyDescent="0.15">
      <c r="A1984" s="6">
        <v>1983</v>
      </c>
      <c r="B1984" s="7" t="s">
        <v>9</v>
      </c>
      <c r="C1984" s="8">
        <v>1883</v>
      </c>
      <c r="D1984" s="9">
        <v>45395</v>
      </c>
      <c r="E1984" s="13" t="str">
        <f>+HYPERLINK("http://trademark.i-assist.jp/data/china/image_1883th/76443402.pdf","76443402")</f>
        <v>76443402</v>
      </c>
      <c r="F1984" s="7" t="s">
        <v>5455</v>
      </c>
      <c r="G1984" s="7" t="s">
        <v>5361</v>
      </c>
      <c r="H1984" s="7" t="s">
        <v>5456</v>
      </c>
      <c r="I1984" s="9">
        <v>45308</v>
      </c>
    </row>
    <row r="1985" spans="1:9" x14ac:dyDescent="0.15">
      <c r="A1985" s="6">
        <v>1984</v>
      </c>
      <c r="B1985" s="7" t="s">
        <v>9</v>
      </c>
      <c r="C1985" s="8">
        <v>1883</v>
      </c>
      <c r="D1985" s="9">
        <v>45395</v>
      </c>
      <c r="E1985" s="13" t="str">
        <f>+HYPERLINK("http://trademark.i-assist.jp/data/china/image_1883th/76443488.pdf","76443488")</f>
        <v>76443488</v>
      </c>
      <c r="F1985" s="7" t="s">
        <v>5457</v>
      </c>
      <c r="G1985" s="7" t="s">
        <v>3081</v>
      </c>
      <c r="H1985" s="7" t="s">
        <v>5458</v>
      </c>
      <c r="I1985" s="9">
        <v>45308</v>
      </c>
    </row>
    <row r="1986" spans="1:9" x14ac:dyDescent="0.15">
      <c r="A1986" s="6">
        <v>1985</v>
      </c>
      <c r="B1986" s="7" t="s">
        <v>9</v>
      </c>
      <c r="C1986" s="8">
        <v>1883</v>
      </c>
      <c r="D1986" s="9">
        <v>45395</v>
      </c>
      <c r="E1986" s="13" t="str">
        <f>+HYPERLINK("http://trademark.i-assist.jp/data/china/image_1883th/76443531.pdf","76443531")</f>
        <v>76443531</v>
      </c>
      <c r="F1986" s="7" t="s">
        <v>5459</v>
      </c>
      <c r="G1986" s="7" t="s">
        <v>5460</v>
      </c>
      <c r="H1986" s="7" t="s">
        <v>5461</v>
      </c>
      <c r="I1986" s="9">
        <v>45308</v>
      </c>
    </row>
    <row r="1987" spans="1:9" x14ac:dyDescent="0.15">
      <c r="A1987" s="6">
        <v>1986</v>
      </c>
      <c r="B1987" s="7" t="s">
        <v>9</v>
      </c>
      <c r="C1987" s="8">
        <v>1883</v>
      </c>
      <c r="D1987" s="9">
        <v>45395</v>
      </c>
      <c r="E1987" s="13" t="str">
        <f>+HYPERLINK("http://trademark.i-assist.jp/data/china/image_1883th/76443798.pdf","76443798")</f>
        <v>76443798</v>
      </c>
      <c r="F1987" s="7" t="s">
        <v>5462</v>
      </c>
      <c r="G1987" s="7" t="s">
        <v>5463</v>
      </c>
      <c r="H1987" s="7" t="s">
        <v>5464</v>
      </c>
      <c r="I1987" s="9">
        <v>45308</v>
      </c>
    </row>
    <row r="1988" spans="1:9" x14ac:dyDescent="0.15">
      <c r="A1988" s="6">
        <v>1987</v>
      </c>
      <c r="B1988" s="7" t="s">
        <v>9</v>
      </c>
      <c r="C1988" s="8">
        <v>1883</v>
      </c>
      <c r="D1988" s="9">
        <v>45395</v>
      </c>
      <c r="E1988" s="13" t="str">
        <f>+HYPERLINK("http://trademark.i-assist.jp/data/china/image_1883th/76443835.pdf","76443835")</f>
        <v>76443835</v>
      </c>
      <c r="F1988" s="7" t="s">
        <v>5465</v>
      </c>
      <c r="G1988" s="7" t="s">
        <v>5466</v>
      </c>
      <c r="H1988" s="7" t="s">
        <v>5467</v>
      </c>
      <c r="I1988" s="9">
        <v>45308</v>
      </c>
    </row>
    <row r="1989" spans="1:9" ht="27" x14ac:dyDescent="0.15">
      <c r="A1989" s="6">
        <v>1988</v>
      </c>
      <c r="B1989" s="7" t="s">
        <v>9</v>
      </c>
      <c r="C1989" s="8">
        <v>1883</v>
      </c>
      <c r="D1989" s="9">
        <v>45395</v>
      </c>
      <c r="E1989" s="13" t="str">
        <f>+HYPERLINK("http://trademark.i-assist.jp/data/china/image_1883th/76443846.pdf","76443846")</f>
        <v>76443846</v>
      </c>
      <c r="F1989" s="7" t="s">
        <v>5468</v>
      </c>
      <c r="G1989" s="7" t="s">
        <v>5469</v>
      </c>
      <c r="H1989" s="7" t="s">
        <v>5470</v>
      </c>
      <c r="I1989" s="9">
        <v>45308</v>
      </c>
    </row>
    <row r="1990" spans="1:9" x14ac:dyDescent="0.15">
      <c r="A1990" s="6">
        <v>1989</v>
      </c>
      <c r="B1990" s="7" t="s">
        <v>9</v>
      </c>
      <c r="C1990" s="8">
        <v>1883</v>
      </c>
      <c r="D1990" s="9">
        <v>45395</v>
      </c>
      <c r="E1990" s="13" t="str">
        <f>+HYPERLINK("http://trademark.i-assist.jp/data/china/image_1883th/76443931.pdf","76443931")</f>
        <v>76443931</v>
      </c>
      <c r="F1990" s="7" t="s">
        <v>5471</v>
      </c>
      <c r="G1990" s="7" t="s">
        <v>5472</v>
      </c>
      <c r="H1990" s="7" t="s">
        <v>5473</v>
      </c>
      <c r="I1990" s="9">
        <v>45308</v>
      </c>
    </row>
    <row r="1991" spans="1:9" x14ac:dyDescent="0.15">
      <c r="A1991" s="6">
        <v>1990</v>
      </c>
      <c r="B1991" s="7" t="s">
        <v>9</v>
      </c>
      <c r="C1991" s="8">
        <v>1883</v>
      </c>
      <c r="D1991" s="9">
        <v>45395</v>
      </c>
      <c r="E1991" s="13" t="str">
        <f>+HYPERLINK("http://trademark.i-assist.jp/data/china/image_1883th/76443948.pdf","76443948")</f>
        <v>76443948</v>
      </c>
      <c r="F1991" s="7" t="s">
        <v>5474</v>
      </c>
      <c r="G1991" s="7" t="s">
        <v>5475</v>
      </c>
      <c r="H1991" s="7" t="s">
        <v>5476</v>
      </c>
      <c r="I1991" s="9">
        <v>45308</v>
      </c>
    </row>
    <row r="1992" spans="1:9" x14ac:dyDescent="0.15">
      <c r="A1992" s="6">
        <v>1991</v>
      </c>
      <c r="B1992" s="7" t="s">
        <v>9</v>
      </c>
      <c r="C1992" s="8">
        <v>1883</v>
      </c>
      <c r="D1992" s="9">
        <v>45395</v>
      </c>
      <c r="E1992" s="13" t="str">
        <f>+HYPERLINK("http://trademark.i-assist.jp/data/china/image_1883th/76444109.pdf","76444109")</f>
        <v>76444109</v>
      </c>
      <c r="F1992" s="7" t="s">
        <v>5477</v>
      </c>
      <c r="G1992" s="7" t="s">
        <v>5478</v>
      </c>
      <c r="H1992" s="7" t="s">
        <v>5479</v>
      </c>
      <c r="I1992" s="9">
        <v>45308</v>
      </c>
    </row>
    <row r="1993" spans="1:9" ht="27" x14ac:dyDescent="0.15">
      <c r="A1993" s="6">
        <v>1992</v>
      </c>
      <c r="B1993" s="7" t="s">
        <v>9</v>
      </c>
      <c r="C1993" s="8">
        <v>1883</v>
      </c>
      <c r="D1993" s="9">
        <v>45395</v>
      </c>
      <c r="E1993" s="13" t="str">
        <f>+HYPERLINK("http://trademark.i-assist.jp/data/china/image_1883th/76444248.pdf","76444248")</f>
        <v>76444248</v>
      </c>
      <c r="F1993" s="7" t="s">
        <v>5480</v>
      </c>
      <c r="G1993" s="7" t="s">
        <v>5481</v>
      </c>
      <c r="H1993" s="7" t="s">
        <v>5482</v>
      </c>
      <c r="I1993" s="9">
        <v>45308</v>
      </c>
    </row>
    <row r="1994" spans="1:9" ht="27" x14ac:dyDescent="0.15">
      <c r="A1994" s="6">
        <v>1993</v>
      </c>
      <c r="B1994" s="7" t="s">
        <v>9</v>
      </c>
      <c r="C1994" s="8">
        <v>1883</v>
      </c>
      <c r="D1994" s="9">
        <v>45395</v>
      </c>
      <c r="E1994" s="13" t="str">
        <f>+HYPERLINK("http://trademark.i-assist.jp/data/china/image_1883th/76444251.pdf","76444251")</f>
        <v>76444251</v>
      </c>
      <c r="F1994" s="7" t="s">
        <v>5483</v>
      </c>
      <c r="G1994" s="7" t="s">
        <v>2676</v>
      </c>
      <c r="H1994" s="7" t="s">
        <v>5484</v>
      </c>
      <c r="I1994" s="9">
        <v>45308</v>
      </c>
    </row>
    <row r="1995" spans="1:9" x14ac:dyDescent="0.15">
      <c r="A1995" s="6">
        <v>1994</v>
      </c>
      <c r="B1995" s="7" t="s">
        <v>9</v>
      </c>
      <c r="C1995" s="8">
        <v>1883</v>
      </c>
      <c r="D1995" s="9">
        <v>45395</v>
      </c>
      <c r="E1995" s="13" t="str">
        <f>+HYPERLINK("http://trademark.i-assist.jp/data/china/image_1883th/76444368.pdf","76444368")</f>
        <v>76444368</v>
      </c>
      <c r="F1995" s="7" t="s">
        <v>5485</v>
      </c>
      <c r="G1995" s="7" t="s">
        <v>5486</v>
      </c>
      <c r="H1995" s="7" t="s">
        <v>5487</v>
      </c>
      <c r="I1995" s="9">
        <v>45308</v>
      </c>
    </row>
    <row r="1996" spans="1:9" x14ac:dyDescent="0.15">
      <c r="A1996" s="6">
        <v>1995</v>
      </c>
      <c r="B1996" s="7" t="s">
        <v>9</v>
      </c>
      <c r="C1996" s="8">
        <v>1883</v>
      </c>
      <c r="D1996" s="9">
        <v>45395</v>
      </c>
      <c r="E1996" s="13" t="str">
        <f>+HYPERLINK("http://trademark.i-assist.jp/data/china/image_1883th/76444396.pdf","76444396")</f>
        <v>76444396</v>
      </c>
      <c r="F1996" s="7" t="s">
        <v>5488</v>
      </c>
      <c r="G1996" s="7" t="s">
        <v>5489</v>
      </c>
      <c r="H1996" s="7" t="s">
        <v>5490</v>
      </c>
      <c r="I1996" s="9">
        <v>45308</v>
      </c>
    </row>
    <row r="1997" spans="1:9" x14ac:dyDescent="0.15">
      <c r="A1997" s="6">
        <v>1996</v>
      </c>
      <c r="B1997" s="7" t="s">
        <v>9</v>
      </c>
      <c r="C1997" s="8">
        <v>1883</v>
      </c>
      <c r="D1997" s="9">
        <v>45395</v>
      </c>
      <c r="E1997" s="13" t="str">
        <f>+HYPERLINK("http://trademark.i-assist.jp/data/china/image_1883th/76444452.pdf","76444452")</f>
        <v>76444452</v>
      </c>
      <c r="F1997" s="7" t="s">
        <v>5491</v>
      </c>
      <c r="G1997" s="7" t="s">
        <v>4474</v>
      </c>
      <c r="H1997" s="7" t="s">
        <v>5492</v>
      </c>
      <c r="I1997" s="9">
        <v>45308</v>
      </c>
    </row>
    <row r="1998" spans="1:9" x14ac:dyDescent="0.15">
      <c r="A1998" s="6">
        <v>1997</v>
      </c>
      <c r="B1998" s="7" t="s">
        <v>9</v>
      </c>
      <c r="C1998" s="8">
        <v>1883</v>
      </c>
      <c r="D1998" s="9">
        <v>45395</v>
      </c>
      <c r="E1998" s="13" t="str">
        <f>+HYPERLINK("http://trademark.i-assist.jp/data/china/image_1883th/76444486.pdf","76444486")</f>
        <v>76444486</v>
      </c>
      <c r="F1998" s="7" t="s">
        <v>57</v>
      </c>
      <c r="G1998" s="7" t="s">
        <v>1739</v>
      </c>
      <c r="H1998" s="7" t="s">
        <v>5493</v>
      </c>
      <c r="I1998" s="9">
        <v>45308</v>
      </c>
    </row>
    <row r="1999" spans="1:9" x14ac:dyDescent="0.15">
      <c r="A1999" s="6">
        <v>1998</v>
      </c>
      <c r="B1999" s="7" t="s">
        <v>9</v>
      </c>
      <c r="C1999" s="8">
        <v>1883</v>
      </c>
      <c r="D1999" s="9">
        <v>45395</v>
      </c>
      <c r="E1999" s="13" t="str">
        <f>+HYPERLINK("http://trademark.i-assist.jp/data/china/image_1883th/76444758.pdf","76444758")</f>
        <v>76444758</v>
      </c>
      <c r="F1999" s="7" t="s">
        <v>5494</v>
      </c>
      <c r="G1999" s="7" t="s">
        <v>5495</v>
      </c>
      <c r="H1999" s="7" t="s">
        <v>5496</v>
      </c>
      <c r="I1999" s="9">
        <v>45308</v>
      </c>
    </row>
    <row r="2000" spans="1:9" x14ac:dyDescent="0.15">
      <c r="A2000" s="6">
        <v>1999</v>
      </c>
      <c r="B2000" s="7" t="s">
        <v>9</v>
      </c>
      <c r="C2000" s="8">
        <v>1883</v>
      </c>
      <c r="D2000" s="9">
        <v>45395</v>
      </c>
      <c r="E2000" s="13" t="str">
        <f>+HYPERLINK("http://trademark.i-assist.jp/data/china/image_1883th/76444876.pdf","76444876")</f>
        <v>76444876</v>
      </c>
      <c r="F2000" s="7" t="s">
        <v>5497</v>
      </c>
      <c r="G2000" s="7" t="s">
        <v>5498</v>
      </c>
      <c r="H2000" s="7" t="s">
        <v>5499</v>
      </c>
      <c r="I2000" s="9">
        <v>45308</v>
      </c>
    </row>
    <row r="2001" spans="1:9" ht="27" x14ac:dyDescent="0.15">
      <c r="A2001" s="6">
        <v>2000</v>
      </c>
      <c r="B2001" s="7" t="s">
        <v>9</v>
      </c>
      <c r="C2001" s="8">
        <v>1883</v>
      </c>
      <c r="D2001" s="9">
        <v>45395</v>
      </c>
      <c r="E2001" s="13" t="str">
        <f>+HYPERLINK("http://trademark.i-assist.jp/data/china/image_1883th/76445232.pdf","76445232")</f>
        <v>76445232</v>
      </c>
      <c r="F2001" s="7" t="s">
        <v>5500</v>
      </c>
      <c r="G2001" s="7" t="s">
        <v>5501</v>
      </c>
      <c r="H2001" s="7" t="s">
        <v>5502</v>
      </c>
      <c r="I2001" s="9">
        <v>45308</v>
      </c>
    </row>
    <row r="2002" spans="1:9" x14ac:dyDescent="0.15">
      <c r="A2002" s="6">
        <v>2001</v>
      </c>
      <c r="B2002" s="7" t="s">
        <v>9</v>
      </c>
      <c r="C2002" s="8">
        <v>1883</v>
      </c>
      <c r="D2002" s="9">
        <v>45395</v>
      </c>
      <c r="E2002" s="13" t="str">
        <f>+HYPERLINK("http://trademark.i-assist.jp/data/china/image_1883th/76445243.pdf","76445243")</f>
        <v>76445243</v>
      </c>
      <c r="F2002" s="7" t="s">
        <v>5503</v>
      </c>
      <c r="G2002" s="7" t="s">
        <v>5504</v>
      </c>
      <c r="H2002" s="7" t="s">
        <v>5505</v>
      </c>
      <c r="I2002" s="9">
        <v>45308</v>
      </c>
    </row>
    <row r="2003" spans="1:9" x14ac:dyDescent="0.15">
      <c r="A2003" s="6">
        <v>2002</v>
      </c>
      <c r="B2003" s="7" t="s">
        <v>9</v>
      </c>
      <c r="C2003" s="8">
        <v>1883</v>
      </c>
      <c r="D2003" s="9">
        <v>45395</v>
      </c>
      <c r="E2003" s="13" t="str">
        <f>+HYPERLINK("http://trademark.i-assist.jp/data/china/image_1883th/76445308.pdf","76445308")</f>
        <v>76445308</v>
      </c>
      <c r="F2003" s="7" t="s">
        <v>5506</v>
      </c>
      <c r="G2003" s="7" t="s">
        <v>5507</v>
      </c>
      <c r="H2003" s="7" t="s">
        <v>5508</v>
      </c>
      <c r="I2003" s="9">
        <v>45308</v>
      </c>
    </row>
    <row r="2004" spans="1:9" x14ac:dyDescent="0.15">
      <c r="A2004" s="6">
        <v>2003</v>
      </c>
      <c r="B2004" s="7" t="s">
        <v>9</v>
      </c>
      <c r="C2004" s="8">
        <v>1883</v>
      </c>
      <c r="D2004" s="9">
        <v>45395</v>
      </c>
      <c r="E2004" s="13" t="str">
        <f>+HYPERLINK("http://trademark.i-assist.jp/data/china/image_1883th/76445326.pdf","76445326")</f>
        <v>76445326</v>
      </c>
      <c r="F2004" s="7" t="s">
        <v>5509</v>
      </c>
      <c r="G2004" s="7" t="s">
        <v>5507</v>
      </c>
      <c r="H2004" s="7" t="s">
        <v>5510</v>
      </c>
      <c r="I2004" s="9">
        <v>45308</v>
      </c>
    </row>
    <row r="2005" spans="1:9" ht="27" x14ac:dyDescent="0.15">
      <c r="A2005" s="6">
        <v>2004</v>
      </c>
      <c r="B2005" s="7" t="s">
        <v>9</v>
      </c>
      <c r="C2005" s="8">
        <v>1883</v>
      </c>
      <c r="D2005" s="9">
        <v>45395</v>
      </c>
      <c r="E2005" s="13" t="str">
        <f>+HYPERLINK("http://trademark.i-assist.jp/data/china/image_1883th/76445668.pdf","76445668")</f>
        <v>76445668</v>
      </c>
      <c r="F2005" s="7" t="s">
        <v>5511</v>
      </c>
      <c r="G2005" s="7" t="s">
        <v>5512</v>
      </c>
      <c r="H2005" s="7" t="s">
        <v>5513</v>
      </c>
      <c r="I2005" s="9">
        <v>45308</v>
      </c>
    </row>
    <row r="2006" spans="1:9" x14ac:dyDescent="0.15">
      <c r="A2006" s="6">
        <v>2005</v>
      </c>
      <c r="B2006" s="7" t="s">
        <v>9</v>
      </c>
      <c r="C2006" s="8">
        <v>1883</v>
      </c>
      <c r="D2006" s="9">
        <v>45395</v>
      </c>
      <c r="E2006" s="13" t="str">
        <f>+HYPERLINK("http://trademark.i-assist.jp/data/china/image_1883th/76445723.pdf","76445723")</f>
        <v>76445723</v>
      </c>
      <c r="F2006" s="7" t="s">
        <v>5514</v>
      </c>
      <c r="G2006" s="7" t="s">
        <v>3052</v>
      </c>
      <c r="H2006" s="7" t="s">
        <v>5515</v>
      </c>
      <c r="I2006" s="9">
        <v>45308</v>
      </c>
    </row>
    <row r="2007" spans="1:9" x14ac:dyDescent="0.15">
      <c r="A2007" s="6">
        <v>2006</v>
      </c>
      <c r="B2007" s="7" t="s">
        <v>9</v>
      </c>
      <c r="C2007" s="8">
        <v>1883</v>
      </c>
      <c r="D2007" s="9">
        <v>45395</v>
      </c>
      <c r="E2007" s="13" t="str">
        <f>+HYPERLINK("http://trademark.i-assist.jp/data/china/image_1883th/76445785.pdf","76445785")</f>
        <v>76445785</v>
      </c>
      <c r="F2007" s="7" t="s">
        <v>5516</v>
      </c>
      <c r="G2007" s="7" t="s">
        <v>5517</v>
      </c>
      <c r="H2007" s="7" t="s">
        <v>5518</v>
      </c>
      <c r="I2007" s="9">
        <v>45308</v>
      </c>
    </row>
    <row r="2008" spans="1:9" x14ac:dyDescent="0.15">
      <c r="A2008" s="6">
        <v>2007</v>
      </c>
      <c r="B2008" s="7" t="s">
        <v>9</v>
      </c>
      <c r="C2008" s="8">
        <v>1883</v>
      </c>
      <c r="D2008" s="9">
        <v>45395</v>
      </c>
      <c r="E2008" s="13" t="str">
        <f>+HYPERLINK("http://trademark.i-assist.jp/data/china/image_1883th/76445803.pdf","76445803")</f>
        <v>76445803</v>
      </c>
      <c r="F2008" s="7" t="s">
        <v>5519</v>
      </c>
      <c r="G2008" s="7" t="s">
        <v>5520</v>
      </c>
      <c r="H2008" s="7" t="s">
        <v>5521</v>
      </c>
      <c r="I2008" s="9">
        <v>45308</v>
      </c>
    </row>
    <row r="2009" spans="1:9" x14ac:dyDescent="0.15">
      <c r="A2009" s="6">
        <v>2008</v>
      </c>
      <c r="B2009" s="7" t="s">
        <v>9</v>
      </c>
      <c r="C2009" s="8">
        <v>1883</v>
      </c>
      <c r="D2009" s="9">
        <v>45395</v>
      </c>
      <c r="E2009" s="13" t="str">
        <f>+HYPERLINK("http://trademark.i-assist.jp/data/china/image_1883th/76445810.pdf","76445810")</f>
        <v>76445810</v>
      </c>
      <c r="F2009" s="7" t="s">
        <v>5522</v>
      </c>
      <c r="G2009" s="7" t="s">
        <v>5523</v>
      </c>
      <c r="H2009" s="7" t="s">
        <v>5524</v>
      </c>
      <c r="I2009" s="9">
        <v>45308</v>
      </c>
    </row>
    <row r="2010" spans="1:9" x14ac:dyDescent="0.15">
      <c r="A2010" s="6">
        <v>2009</v>
      </c>
      <c r="B2010" s="7" t="s">
        <v>9</v>
      </c>
      <c r="C2010" s="8">
        <v>1883</v>
      </c>
      <c r="D2010" s="9">
        <v>45395</v>
      </c>
      <c r="E2010" s="13" t="str">
        <f>+HYPERLINK("http://trademark.i-assist.jp/data/china/image_1883th/76445962.pdf","76445962")</f>
        <v>76445962</v>
      </c>
      <c r="F2010" s="7" t="s">
        <v>57</v>
      </c>
      <c r="G2010" s="7" t="s">
        <v>5525</v>
      </c>
      <c r="H2010" s="7" t="s">
        <v>5526</v>
      </c>
      <c r="I2010" s="9">
        <v>45308</v>
      </c>
    </row>
    <row r="2011" spans="1:9" x14ac:dyDescent="0.15">
      <c r="A2011" s="6">
        <v>2010</v>
      </c>
      <c r="B2011" s="7" t="s">
        <v>9</v>
      </c>
      <c r="C2011" s="8">
        <v>1883</v>
      </c>
      <c r="D2011" s="9">
        <v>45395</v>
      </c>
      <c r="E2011" s="13" t="str">
        <f>+HYPERLINK("http://trademark.i-assist.jp/data/china/image_1883th/76446020.pdf","76446020")</f>
        <v>76446020</v>
      </c>
      <c r="F2011" s="7" t="s">
        <v>5527</v>
      </c>
      <c r="G2011" s="7" t="s">
        <v>5528</v>
      </c>
      <c r="H2011" s="7" t="s">
        <v>5529</v>
      </c>
      <c r="I2011" s="9">
        <v>45308</v>
      </c>
    </row>
    <row r="2012" spans="1:9" x14ac:dyDescent="0.15">
      <c r="A2012" s="6">
        <v>2011</v>
      </c>
      <c r="B2012" s="7" t="s">
        <v>9</v>
      </c>
      <c r="C2012" s="8">
        <v>1883</v>
      </c>
      <c r="D2012" s="9">
        <v>45395</v>
      </c>
      <c r="E2012" s="13" t="str">
        <f>+HYPERLINK("http://trademark.i-assist.jp/data/china/image_1883th/76446062.pdf","76446062")</f>
        <v>76446062</v>
      </c>
      <c r="F2012" s="7" t="s">
        <v>5530</v>
      </c>
      <c r="G2012" s="7" t="s">
        <v>5531</v>
      </c>
      <c r="H2012" s="7" t="s">
        <v>5532</v>
      </c>
      <c r="I2012" s="9">
        <v>45308</v>
      </c>
    </row>
    <row r="2013" spans="1:9" x14ac:dyDescent="0.15">
      <c r="A2013" s="6">
        <v>2012</v>
      </c>
      <c r="B2013" s="7" t="s">
        <v>9</v>
      </c>
      <c r="C2013" s="8">
        <v>1883</v>
      </c>
      <c r="D2013" s="9">
        <v>45395</v>
      </c>
      <c r="E2013" s="13" t="str">
        <f>+HYPERLINK("http://trademark.i-assist.jp/data/china/image_1883th/76446151.pdf","76446151")</f>
        <v>76446151</v>
      </c>
      <c r="F2013" s="7" t="s">
        <v>5533</v>
      </c>
      <c r="G2013" s="7" t="s">
        <v>5534</v>
      </c>
      <c r="H2013" s="7" t="s">
        <v>5535</v>
      </c>
      <c r="I2013" s="9">
        <v>45308</v>
      </c>
    </row>
    <row r="2014" spans="1:9" x14ac:dyDescent="0.15">
      <c r="A2014" s="6">
        <v>2013</v>
      </c>
      <c r="B2014" s="7" t="s">
        <v>9</v>
      </c>
      <c r="C2014" s="8">
        <v>1883</v>
      </c>
      <c r="D2014" s="9">
        <v>45395</v>
      </c>
      <c r="E2014" s="13" t="str">
        <f>+HYPERLINK("http://trademark.i-assist.jp/data/china/image_1883th/76446200.pdf","76446200")</f>
        <v>76446200</v>
      </c>
      <c r="F2014" s="7" t="s">
        <v>5536</v>
      </c>
      <c r="G2014" s="7" t="s">
        <v>5537</v>
      </c>
      <c r="H2014" s="7" t="s">
        <v>5538</v>
      </c>
      <c r="I2014" s="9">
        <v>45308</v>
      </c>
    </row>
    <row r="2015" spans="1:9" x14ac:dyDescent="0.15">
      <c r="A2015" s="6">
        <v>2014</v>
      </c>
      <c r="B2015" s="7" t="s">
        <v>9</v>
      </c>
      <c r="C2015" s="8">
        <v>1883</v>
      </c>
      <c r="D2015" s="9">
        <v>45395</v>
      </c>
      <c r="E2015" s="13" t="str">
        <f>+HYPERLINK("http://trademark.i-assist.jp/data/china/image_1883th/76446204.pdf","76446204")</f>
        <v>76446204</v>
      </c>
      <c r="F2015" s="7" t="s">
        <v>5539</v>
      </c>
      <c r="G2015" s="7" t="s">
        <v>5537</v>
      </c>
      <c r="H2015" s="7" t="s">
        <v>5540</v>
      </c>
      <c r="I2015" s="9">
        <v>45308</v>
      </c>
    </row>
    <row r="2016" spans="1:9" x14ac:dyDescent="0.15">
      <c r="A2016" s="6">
        <v>2015</v>
      </c>
      <c r="B2016" s="7" t="s">
        <v>9</v>
      </c>
      <c r="C2016" s="8">
        <v>1883</v>
      </c>
      <c r="D2016" s="9">
        <v>45395</v>
      </c>
      <c r="E2016" s="13" t="str">
        <f>+HYPERLINK("http://trademark.i-assist.jp/data/china/image_1883th/76446255.pdf","76446255")</f>
        <v>76446255</v>
      </c>
      <c r="F2016" s="7" t="s">
        <v>5541</v>
      </c>
      <c r="G2016" s="7" t="s">
        <v>5542</v>
      </c>
      <c r="H2016" s="7" t="s">
        <v>5543</v>
      </c>
      <c r="I2016" s="9">
        <v>45308</v>
      </c>
    </row>
    <row r="2017" spans="1:9" x14ac:dyDescent="0.15">
      <c r="A2017" s="6">
        <v>2016</v>
      </c>
      <c r="B2017" s="7" t="s">
        <v>9</v>
      </c>
      <c r="C2017" s="8">
        <v>1883</v>
      </c>
      <c r="D2017" s="9">
        <v>45395</v>
      </c>
      <c r="E2017" s="13" t="str">
        <f>+HYPERLINK("http://trademark.i-assist.jp/data/china/image_1883th/76446300.pdf","76446300")</f>
        <v>76446300</v>
      </c>
      <c r="F2017" s="7" t="s">
        <v>5544</v>
      </c>
      <c r="G2017" s="7" t="s">
        <v>5520</v>
      </c>
      <c r="H2017" s="7" t="s">
        <v>5545</v>
      </c>
      <c r="I2017" s="9">
        <v>45308</v>
      </c>
    </row>
    <row r="2018" spans="1:9" x14ac:dyDescent="0.15">
      <c r="A2018" s="6">
        <v>2017</v>
      </c>
      <c r="B2018" s="7" t="s">
        <v>9</v>
      </c>
      <c r="C2018" s="8">
        <v>1883</v>
      </c>
      <c r="D2018" s="9">
        <v>45395</v>
      </c>
      <c r="E2018" s="13" t="str">
        <f>+HYPERLINK("http://trademark.i-assist.jp/data/china/image_1883th/76446332.pdf","76446332")</f>
        <v>76446332</v>
      </c>
      <c r="F2018" s="7" t="s">
        <v>5546</v>
      </c>
      <c r="G2018" s="7" t="s">
        <v>5547</v>
      </c>
      <c r="H2018" s="7" t="s">
        <v>5548</v>
      </c>
      <c r="I2018" s="9">
        <v>45308</v>
      </c>
    </row>
    <row r="2019" spans="1:9" x14ac:dyDescent="0.15">
      <c r="A2019" s="6">
        <v>2018</v>
      </c>
      <c r="B2019" s="7" t="s">
        <v>9</v>
      </c>
      <c r="C2019" s="8">
        <v>1883</v>
      </c>
      <c r="D2019" s="9">
        <v>45395</v>
      </c>
      <c r="E2019" s="13" t="str">
        <f>+HYPERLINK("http://trademark.i-assist.jp/data/china/image_1883th/76446377.pdf","76446377")</f>
        <v>76446377</v>
      </c>
      <c r="F2019" s="7" t="s">
        <v>5549</v>
      </c>
      <c r="G2019" s="7" t="s">
        <v>5520</v>
      </c>
      <c r="H2019" s="7" t="s">
        <v>5550</v>
      </c>
      <c r="I2019" s="9">
        <v>45308</v>
      </c>
    </row>
    <row r="2020" spans="1:9" ht="27" x14ac:dyDescent="0.15">
      <c r="A2020" s="6">
        <v>2019</v>
      </c>
      <c r="B2020" s="7" t="s">
        <v>9</v>
      </c>
      <c r="C2020" s="8">
        <v>1883</v>
      </c>
      <c r="D2020" s="9">
        <v>45395</v>
      </c>
      <c r="E2020" s="13" t="str">
        <f>+HYPERLINK("http://trademark.i-assist.jp/data/china/image_1883th/76446769.pdf","76446769")</f>
        <v>76446769</v>
      </c>
      <c r="F2020" s="7" t="s">
        <v>5551</v>
      </c>
      <c r="G2020" s="7" t="s">
        <v>5552</v>
      </c>
      <c r="H2020" s="7" t="s">
        <v>5553</v>
      </c>
      <c r="I2020" s="9">
        <v>45308</v>
      </c>
    </row>
    <row r="2021" spans="1:9" ht="27" x14ac:dyDescent="0.15">
      <c r="A2021" s="6">
        <v>2020</v>
      </c>
      <c r="B2021" s="7" t="s">
        <v>9</v>
      </c>
      <c r="C2021" s="8">
        <v>1883</v>
      </c>
      <c r="D2021" s="9">
        <v>45395</v>
      </c>
      <c r="E2021" s="13" t="str">
        <f>+HYPERLINK("http://trademark.i-assist.jp/data/china/image_1883th/76446816.pdf","76446816")</f>
        <v>76446816</v>
      </c>
      <c r="F2021" s="7" t="s">
        <v>5554</v>
      </c>
      <c r="G2021" s="7" t="s">
        <v>5555</v>
      </c>
      <c r="H2021" s="7" t="s">
        <v>5556</v>
      </c>
      <c r="I2021" s="9">
        <v>45308</v>
      </c>
    </row>
    <row r="2022" spans="1:9" x14ac:dyDescent="0.15">
      <c r="A2022" s="6">
        <v>2021</v>
      </c>
      <c r="B2022" s="7" t="s">
        <v>9</v>
      </c>
      <c r="C2022" s="8">
        <v>1883</v>
      </c>
      <c r="D2022" s="9">
        <v>45395</v>
      </c>
      <c r="E2022" s="13" t="str">
        <f>+HYPERLINK("http://trademark.i-assist.jp/data/china/image_1883th/76447027.pdf","76447027")</f>
        <v>76447027</v>
      </c>
      <c r="F2022" s="7" t="s">
        <v>5557</v>
      </c>
      <c r="G2022" s="7" t="s">
        <v>5558</v>
      </c>
      <c r="H2022" s="7" t="s">
        <v>5559</v>
      </c>
      <c r="I2022" s="9">
        <v>45308</v>
      </c>
    </row>
    <row r="2023" spans="1:9" x14ac:dyDescent="0.15">
      <c r="A2023" s="6">
        <v>2022</v>
      </c>
      <c r="B2023" s="7" t="s">
        <v>9</v>
      </c>
      <c r="C2023" s="8">
        <v>1883</v>
      </c>
      <c r="D2023" s="9">
        <v>45395</v>
      </c>
      <c r="E2023" s="13" t="str">
        <f>+HYPERLINK("http://trademark.i-assist.jp/data/china/image_1883th/76447164.pdf","76447164")</f>
        <v>76447164</v>
      </c>
      <c r="F2023" s="7" t="s">
        <v>5560</v>
      </c>
      <c r="G2023" s="7" t="s">
        <v>5561</v>
      </c>
      <c r="H2023" s="7" t="s">
        <v>5562</v>
      </c>
      <c r="I2023" s="9">
        <v>45308</v>
      </c>
    </row>
    <row r="2024" spans="1:9" x14ac:dyDescent="0.15">
      <c r="A2024" s="6">
        <v>2023</v>
      </c>
      <c r="B2024" s="7" t="s">
        <v>9</v>
      </c>
      <c r="C2024" s="8">
        <v>1883</v>
      </c>
      <c r="D2024" s="9">
        <v>45395</v>
      </c>
      <c r="E2024" s="13" t="str">
        <f>+HYPERLINK("http://trademark.i-assist.jp/data/china/image_1883th/76447297.pdf","76447297")</f>
        <v>76447297</v>
      </c>
      <c r="F2024" s="7" t="s">
        <v>5563</v>
      </c>
      <c r="G2024" s="7" t="s">
        <v>5564</v>
      </c>
      <c r="H2024" s="7" t="s">
        <v>5565</v>
      </c>
      <c r="I2024" s="9">
        <v>45308</v>
      </c>
    </row>
    <row r="2025" spans="1:9" x14ac:dyDescent="0.15">
      <c r="A2025" s="6">
        <v>2024</v>
      </c>
      <c r="B2025" s="7" t="s">
        <v>9</v>
      </c>
      <c r="C2025" s="8">
        <v>1883</v>
      </c>
      <c r="D2025" s="9">
        <v>45395</v>
      </c>
      <c r="E2025" s="13" t="str">
        <f>+HYPERLINK("http://trademark.i-assist.jp/data/china/image_1883th/76447488.pdf","76447488")</f>
        <v>76447488</v>
      </c>
      <c r="F2025" s="7" t="s">
        <v>57</v>
      </c>
      <c r="G2025" s="7" t="s">
        <v>1739</v>
      </c>
      <c r="H2025" s="7" t="s">
        <v>5566</v>
      </c>
      <c r="I2025" s="9">
        <v>45308</v>
      </c>
    </row>
    <row r="2026" spans="1:9" x14ac:dyDescent="0.15">
      <c r="A2026" s="6">
        <v>2025</v>
      </c>
      <c r="B2026" s="7" t="s">
        <v>9</v>
      </c>
      <c r="C2026" s="8">
        <v>1883</v>
      </c>
      <c r="D2026" s="9">
        <v>45395</v>
      </c>
      <c r="E2026" s="13" t="str">
        <f>+HYPERLINK("http://trademark.i-assist.jp/data/china/image_1883th/76447505.pdf","76447505")</f>
        <v>76447505</v>
      </c>
      <c r="F2026" s="7" t="s">
        <v>5567</v>
      </c>
      <c r="G2026" s="7" t="s">
        <v>5568</v>
      </c>
      <c r="H2026" s="7" t="s">
        <v>5569</v>
      </c>
      <c r="I2026" s="9">
        <v>45308</v>
      </c>
    </row>
    <row r="2027" spans="1:9" x14ac:dyDescent="0.15">
      <c r="A2027" s="6">
        <v>2026</v>
      </c>
      <c r="B2027" s="7" t="s">
        <v>9</v>
      </c>
      <c r="C2027" s="8">
        <v>1883</v>
      </c>
      <c r="D2027" s="9">
        <v>45395</v>
      </c>
      <c r="E2027" s="13" t="str">
        <f>+HYPERLINK("http://trademark.i-assist.jp/data/china/image_1883th/76447613.pdf","76447613")</f>
        <v>76447613</v>
      </c>
      <c r="F2027" s="7" t="s">
        <v>5570</v>
      </c>
      <c r="G2027" s="7" t="s">
        <v>5571</v>
      </c>
      <c r="H2027" s="7" t="s">
        <v>5572</v>
      </c>
      <c r="I2027" s="9">
        <v>45308</v>
      </c>
    </row>
    <row r="2028" spans="1:9" x14ac:dyDescent="0.15">
      <c r="A2028" s="6">
        <v>2027</v>
      </c>
      <c r="B2028" s="7" t="s">
        <v>9</v>
      </c>
      <c r="C2028" s="8">
        <v>1883</v>
      </c>
      <c r="D2028" s="9">
        <v>45395</v>
      </c>
      <c r="E2028" s="13" t="str">
        <f>+HYPERLINK("http://trademark.i-assist.jp/data/china/image_1883th/76447643.pdf","76447643")</f>
        <v>76447643</v>
      </c>
      <c r="F2028" s="7" t="s">
        <v>5573</v>
      </c>
      <c r="G2028" s="7" t="s">
        <v>5574</v>
      </c>
      <c r="H2028" s="7" t="s">
        <v>5575</v>
      </c>
      <c r="I2028" s="9">
        <v>45308</v>
      </c>
    </row>
    <row r="2029" spans="1:9" x14ac:dyDescent="0.15">
      <c r="A2029" s="6">
        <v>2028</v>
      </c>
      <c r="B2029" s="7" t="s">
        <v>9</v>
      </c>
      <c r="C2029" s="8">
        <v>1883</v>
      </c>
      <c r="D2029" s="9">
        <v>45395</v>
      </c>
      <c r="E2029" s="13" t="str">
        <f>+HYPERLINK("http://trademark.i-assist.jp/data/china/image_1883th/76447644.pdf","76447644")</f>
        <v>76447644</v>
      </c>
      <c r="F2029" s="7" t="s">
        <v>5576</v>
      </c>
      <c r="G2029" s="7" t="s">
        <v>5577</v>
      </c>
      <c r="H2029" s="7" t="s">
        <v>5578</v>
      </c>
      <c r="I2029" s="9">
        <v>45308</v>
      </c>
    </row>
    <row r="2030" spans="1:9" x14ac:dyDescent="0.15">
      <c r="A2030" s="6">
        <v>2029</v>
      </c>
      <c r="B2030" s="7" t="s">
        <v>9</v>
      </c>
      <c r="C2030" s="8">
        <v>1883</v>
      </c>
      <c r="D2030" s="9">
        <v>45395</v>
      </c>
      <c r="E2030" s="13" t="str">
        <f>+HYPERLINK("http://trademark.i-assist.jp/data/china/image_1883th/76447663.pdf","76447663")</f>
        <v>76447663</v>
      </c>
      <c r="F2030" s="7" t="s">
        <v>5579</v>
      </c>
      <c r="G2030" s="7" t="s">
        <v>5580</v>
      </c>
      <c r="H2030" s="7" t="s">
        <v>5581</v>
      </c>
      <c r="I2030" s="9">
        <v>45308</v>
      </c>
    </row>
    <row r="2031" spans="1:9" x14ac:dyDescent="0.15">
      <c r="A2031" s="6">
        <v>2030</v>
      </c>
      <c r="B2031" s="7" t="s">
        <v>9</v>
      </c>
      <c r="C2031" s="8">
        <v>1883</v>
      </c>
      <c r="D2031" s="9">
        <v>45395</v>
      </c>
      <c r="E2031" s="13" t="str">
        <f>+HYPERLINK("http://trademark.i-assist.jp/data/china/image_1883th/76447742.pdf","76447742")</f>
        <v>76447742</v>
      </c>
      <c r="F2031" s="7" t="s">
        <v>57</v>
      </c>
      <c r="G2031" s="7" t="s">
        <v>5369</v>
      </c>
      <c r="H2031" s="7" t="s">
        <v>5582</v>
      </c>
      <c r="I2031" s="9">
        <v>45308</v>
      </c>
    </row>
    <row r="2032" spans="1:9" x14ac:dyDescent="0.15">
      <c r="A2032" s="6">
        <v>2031</v>
      </c>
      <c r="B2032" s="7" t="s">
        <v>9</v>
      </c>
      <c r="C2032" s="8">
        <v>1883</v>
      </c>
      <c r="D2032" s="9">
        <v>45395</v>
      </c>
      <c r="E2032" s="13" t="str">
        <f>+HYPERLINK("http://trademark.i-assist.jp/data/china/image_1883th/76447743.pdf","76447743")</f>
        <v>76447743</v>
      </c>
      <c r="F2032" s="7" t="s">
        <v>5583</v>
      </c>
      <c r="G2032" s="7" t="s">
        <v>5584</v>
      </c>
      <c r="H2032" s="7" t="s">
        <v>5585</v>
      </c>
      <c r="I2032" s="9">
        <v>45308</v>
      </c>
    </row>
    <row r="2033" spans="1:9" x14ac:dyDescent="0.15">
      <c r="A2033" s="6">
        <v>2032</v>
      </c>
      <c r="B2033" s="7" t="s">
        <v>9</v>
      </c>
      <c r="C2033" s="8">
        <v>1883</v>
      </c>
      <c r="D2033" s="9">
        <v>45395</v>
      </c>
      <c r="E2033" s="13" t="str">
        <f>+HYPERLINK("http://trademark.i-assist.jp/data/china/image_1883th/76447749.pdf","76447749")</f>
        <v>76447749</v>
      </c>
      <c r="F2033" s="7" t="s">
        <v>57</v>
      </c>
      <c r="G2033" s="7" t="s">
        <v>5369</v>
      </c>
      <c r="H2033" s="7" t="s">
        <v>5586</v>
      </c>
      <c r="I2033" s="9">
        <v>45308</v>
      </c>
    </row>
    <row r="2034" spans="1:9" x14ac:dyDescent="0.15">
      <c r="A2034" s="6">
        <v>2033</v>
      </c>
      <c r="B2034" s="7" t="s">
        <v>9</v>
      </c>
      <c r="C2034" s="8">
        <v>1883</v>
      </c>
      <c r="D2034" s="9">
        <v>45395</v>
      </c>
      <c r="E2034" s="13" t="str">
        <f>+HYPERLINK("http://trademark.i-assist.jp/data/china/image_1883th/76447930.pdf","76447930")</f>
        <v>76447930</v>
      </c>
      <c r="F2034" s="7" t="s">
        <v>5587</v>
      </c>
      <c r="G2034" s="7" t="s">
        <v>5588</v>
      </c>
      <c r="H2034" s="7" t="s">
        <v>5589</v>
      </c>
      <c r="I2034" s="9">
        <v>45308</v>
      </c>
    </row>
    <row r="2035" spans="1:9" x14ac:dyDescent="0.15">
      <c r="A2035" s="6">
        <v>2034</v>
      </c>
      <c r="B2035" s="7" t="s">
        <v>9</v>
      </c>
      <c r="C2035" s="8">
        <v>1883</v>
      </c>
      <c r="D2035" s="9">
        <v>45395</v>
      </c>
      <c r="E2035" s="13" t="str">
        <f>+HYPERLINK("http://trademark.i-assist.jp/data/china/image_1883th/76447964.pdf","76447964")</f>
        <v>76447964</v>
      </c>
      <c r="F2035" s="7" t="s">
        <v>5590</v>
      </c>
      <c r="G2035" s="7" t="s">
        <v>5591</v>
      </c>
      <c r="H2035" s="7" t="s">
        <v>5592</v>
      </c>
      <c r="I2035" s="9">
        <v>45308</v>
      </c>
    </row>
    <row r="2036" spans="1:9" x14ac:dyDescent="0.15">
      <c r="A2036" s="6">
        <v>2035</v>
      </c>
      <c r="B2036" s="7" t="s">
        <v>9</v>
      </c>
      <c r="C2036" s="8">
        <v>1883</v>
      </c>
      <c r="D2036" s="9">
        <v>45395</v>
      </c>
      <c r="E2036" s="13" t="str">
        <f>+HYPERLINK("http://trademark.i-assist.jp/data/china/image_1883th/76448135.pdf","76448135")</f>
        <v>76448135</v>
      </c>
      <c r="F2036" s="7" t="s">
        <v>5593</v>
      </c>
      <c r="G2036" s="7" t="s">
        <v>5594</v>
      </c>
      <c r="H2036" s="7" t="s">
        <v>5595</v>
      </c>
      <c r="I2036" s="9">
        <v>45308</v>
      </c>
    </row>
    <row r="2037" spans="1:9" x14ac:dyDescent="0.15">
      <c r="A2037" s="6">
        <v>2036</v>
      </c>
      <c r="B2037" s="7" t="s">
        <v>9</v>
      </c>
      <c r="C2037" s="8">
        <v>1883</v>
      </c>
      <c r="D2037" s="9">
        <v>45395</v>
      </c>
      <c r="E2037" s="13" t="str">
        <f>+HYPERLINK("http://trademark.i-assist.jp/data/china/image_1883th/76448274.pdf","76448274")</f>
        <v>76448274</v>
      </c>
      <c r="F2037" s="7" t="s">
        <v>5596</v>
      </c>
      <c r="G2037" s="7" t="s">
        <v>5597</v>
      </c>
      <c r="H2037" s="7" t="s">
        <v>5598</v>
      </c>
      <c r="I2037" s="9">
        <v>45308</v>
      </c>
    </row>
    <row r="2038" spans="1:9" x14ac:dyDescent="0.15">
      <c r="A2038" s="6">
        <v>2037</v>
      </c>
      <c r="B2038" s="7" t="s">
        <v>9</v>
      </c>
      <c r="C2038" s="8">
        <v>1883</v>
      </c>
      <c r="D2038" s="9">
        <v>45395</v>
      </c>
      <c r="E2038" s="13" t="str">
        <f>+HYPERLINK("http://trademark.i-assist.jp/data/china/image_1883th/76448461.pdf","76448461")</f>
        <v>76448461</v>
      </c>
      <c r="F2038" s="7" t="s">
        <v>5599</v>
      </c>
      <c r="G2038" s="7" t="s">
        <v>5600</v>
      </c>
      <c r="H2038" s="7" t="s">
        <v>5601</v>
      </c>
      <c r="I2038" s="9">
        <v>45308</v>
      </c>
    </row>
    <row r="2039" spans="1:9" x14ac:dyDescent="0.15">
      <c r="A2039" s="6">
        <v>2038</v>
      </c>
      <c r="B2039" s="7" t="s">
        <v>9</v>
      </c>
      <c r="C2039" s="8">
        <v>1883</v>
      </c>
      <c r="D2039" s="9">
        <v>45395</v>
      </c>
      <c r="E2039" s="13" t="str">
        <f>+HYPERLINK("http://trademark.i-assist.jp/data/china/image_1883th/76449010.pdf","76449010")</f>
        <v>76449010</v>
      </c>
      <c r="F2039" s="7" t="s">
        <v>5602</v>
      </c>
      <c r="G2039" s="7" t="s">
        <v>5603</v>
      </c>
      <c r="H2039" s="7" t="s">
        <v>5604</v>
      </c>
      <c r="I2039" s="9">
        <v>45308</v>
      </c>
    </row>
    <row r="2040" spans="1:9" ht="27" x14ac:dyDescent="0.15">
      <c r="A2040" s="6">
        <v>2039</v>
      </c>
      <c r="B2040" s="7" t="s">
        <v>9</v>
      </c>
      <c r="C2040" s="8">
        <v>1883</v>
      </c>
      <c r="D2040" s="9">
        <v>45395</v>
      </c>
      <c r="E2040" s="13" t="str">
        <f>+HYPERLINK("http://trademark.i-assist.jp/data/china/image_1883th/76449039.pdf","76449039")</f>
        <v>76449039</v>
      </c>
      <c r="F2040" s="7" t="s">
        <v>5605</v>
      </c>
      <c r="G2040" s="7" t="s">
        <v>4860</v>
      </c>
      <c r="H2040" s="7" t="s">
        <v>5606</v>
      </c>
      <c r="I2040" s="9">
        <v>45308</v>
      </c>
    </row>
    <row r="2041" spans="1:9" x14ac:dyDescent="0.15">
      <c r="A2041" s="6">
        <v>2040</v>
      </c>
      <c r="B2041" s="7" t="s">
        <v>9</v>
      </c>
      <c r="C2041" s="8">
        <v>1883</v>
      </c>
      <c r="D2041" s="9">
        <v>45395</v>
      </c>
      <c r="E2041" s="13" t="str">
        <f>+HYPERLINK("http://trademark.i-assist.jp/data/china/image_1883th/76449044.pdf","76449044")</f>
        <v>76449044</v>
      </c>
      <c r="F2041" s="7" t="s">
        <v>5607</v>
      </c>
      <c r="G2041" s="7" t="s">
        <v>858</v>
      </c>
      <c r="H2041" s="7" t="s">
        <v>5608</v>
      </c>
      <c r="I2041" s="9">
        <v>45308</v>
      </c>
    </row>
    <row r="2042" spans="1:9" x14ac:dyDescent="0.15">
      <c r="A2042" s="6">
        <v>2041</v>
      </c>
      <c r="B2042" s="7" t="s">
        <v>9</v>
      </c>
      <c r="C2042" s="8">
        <v>1883</v>
      </c>
      <c r="D2042" s="9">
        <v>45395</v>
      </c>
      <c r="E2042" s="13" t="str">
        <f>+HYPERLINK("http://trademark.i-assist.jp/data/china/image_1883th/76449069.pdf","76449069")</f>
        <v>76449069</v>
      </c>
      <c r="F2042" s="7" t="s">
        <v>5609</v>
      </c>
      <c r="G2042" s="7" t="s">
        <v>5571</v>
      </c>
      <c r="H2042" s="7" t="s">
        <v>5610</v>
      </c>
      <c r="I2042" s="9">
        <v>45308</v>
      </c>
    </row>
    <row r="2043" spans="1:9" x14ac:dyDescent="0.15">
      <c r="A2043" s="6">
        <v>2042</v>
      </c>
      <c r="B2043" s="7" t="s">
        <v>9</v>
      </c>
      <c r="C2043" s="8">
        <v>1883</v>
      </c>
      <c r="D2043" s="9">
        <v>45395</v>
      </c>
      <c r="E2043" s="13" t="str">
        <f>+HYPERLINK("http://trademark.i-assist.jp/data/china/image_1883th/76449085.pdf","76449085")</f>
        <v>76449085</v>
      </c>
      <c r="F2043" s="7" t="s">
        <v>5611</v>
      </c>
      <c r="G2043" s="7" t="s">
        <v>5612</v>
      </c>
      <c r="H2043" s="7" t="s">
        <v>5613</v>
      </c>
      <c r="I2043" s="9">
        <v>45308</v>
      </c>
    </row>
    <row r="2044" spans="1:9" x14ac:dyDescent="0.15">
      <c r="A2044" s="6">
        <v>2043</v>
      </c>
      <c r="B2044" s="7" t="s">
        <v>9</v>
      </c>
      <c r="C2044" s="8">
        <v>1883</v>
      </c>
      <c r="D2044" s="9">
        <v>45395</v>
      </c>
      <c r="E2044" s="13" t="str">
        <f>+HYPERLINK("http://trademark.i-assist.jp/data/china/image_1883th/76449251.pdf","76449251")</f>
        <v>76449251</v>
      </c>
      <c r="F2044" s="7" t="s">
        <v>5614</v>
      </c>
      <c r="G2044" s="7" t="s">
        <v>5615</v>
      </c>
      <c r="H2044" s="7" t="s">
        <v>5616</v>
      </c>
      <c r="I2044" s="9">
        <v>45308</v>
      </c>
    </row>
    <row r="2045" spans="1:9" x14ac:dyDescent="0.15">
      <c r="A2045" s="6">
        <v>2044</v>
      </c>
      <c r="B2045" s="7" t="s">
        <v>9</v>
      </c>
      <c r="C2045" s="8">
        <v>1883</v>
      </c>
      <c r="D2045" s="9">
        <v>45395</v>
      </c>
      <c r="E2045" s="13" t="str">
        <f>+HYPERLINK("http://trademark.i-assist.jp/data/china/image_1883th/76449329.pdf","76449329")</f>
        <v>76449329</v>
      </c>
      <c r="F2045" s="7" t="s">
        <v>5617</v>
      </c>
      <c r="G2045" s="7" t="s">
        <v>5618</v>
      </c>
      <c r="H2045" s="7" t="s">
        <v>5619</v>
      </c>
      <c r="I2045" s="9">
        <v>45308</v>
      </c>
    </row>
    <row r="2046" spans="1:9" x14ac:dyDescent="0.15">
      <c r="A2046" s="6">
        <v>2045</v>
      </c>
      <c r="B2046" s="7" t="s">
        <v>9</v>
      </c>
      <c r="C2046" s="8">
        <v>1883</v>
      </c>
      <c r="D2046" s="9">
        <v>45395</v>
      </c>
      <c r="E2046" s="13" t="str">
        <f>+HYPERLINK("http://trademark.i-assist.jp/data/china/image_1883th/76449339.pdf","76449339")</f>
        <v>76449339</v>
      </c>
      <c r="F2046" s="7" t="s">
        <v>5620</v>
      </c>
      <c r="G2046" s="7" t="s">
        <v>5621</v>
      </c>
      <c r="H2046" s="7" t="s">
        <v>5622</v>
      </c>
      <c r="I2046" s="9">
        <v>45308</v>
      </c>
    </row>
    <row r="2047" spans="1:9" x14ac:dyDescent="0.15">
      <c r="A2047" s="6">
        <v>2046</v>
      </c>
      <c r="B2047" s="7" t="s">
        <v>9</v>
      </c>
      <c r="C2047" s="8">
        <v>1883</v>
      </c>
      <c r="D2047" s="9">
        <v>45395</v>
      </c>
      <c r="E2047" s="13" t="str">
        <f>+HYPERLINK("http://trademark.i-assist.jp/data/china/image_1883th/76449508.pdf","76449508")</f>
        <v>76449508</v>
      </c>
      <c r="F2047" s="7" t="s">
        <v>5623</v>
      </c>
      <c r="G2047" s="7" t="s">
        <v>5520</v>
      </c>
      <c r="H2047" s="7" t="s">
        <v>5624</v>
      </c>
      <c r="I2047" s="9">
        <v>45308</v>
      </c>
    </row>
    <row r="2048" spans="1:9" x14ac:dyDescent="0.15">
      <c r="A2048" s="6">
        <v>2047</v>
      </c>
      <c r="B2048" s="7" t="s">
        <v>9</v>
      </c>
      <c r="C2048" s="8">
        <v>1883</v>
      </c>
      <c r="D2048" s="9">
        <v>45395</v>
      </c>
      <c r="E2048" s="13" t="str">
        <f>+HYPERLINK("http://trademark.i-assist.jp/data/china/image_1883th/76449548.pdf","76449548")</f>
        <v>76449548</v>
      </c>
      <c r="F2048" s="7" t="s">
        <v>5625</v>
      </c>
      <c r="G2048" s="7" t="s">
        <v>5626</v>
      </c>
      <c r="H2048" s="7" t="s">
        <v>5627</v>
      </c>
      <c r="I2048" s="9">
        <v>45308</v>
      </c>
    </row>
    <row r="2049" spans="1:9" x14ac:dyDescent="0.15">
      <c r="A2049" s="6">
        <v>2048</v>
      </c>
      <c r="B2049" s="7" t="s">
        <v>9</v>
      </c>
      <c r="C2049" s="8">
        <v>1883</v>
      </c>
      <c r="D2049" s="9">
        <v>45395</v>
      </c>
      <c r="E2049" s="13" t="str">
        <f>+HYPERLINK("http://trademark.i-assist.jp/data/china/image_1883th/76449629.pdf","76449629")</f>
        <v>76449629</v>
      </c>
      <c r="F2049" s="7" t="s">
        <v>5628</v>
      </c>
      <c r="G2049" s="7" t="s">
        <v>5629</v>
      </c>
      <c r="H2049" s="7" t="s">
        <v>5630</v>
      </c>
      <c r="I2049" s="9">
        <v>45308</v>
      </c>
    </row>
    <row r="2050" spans="1:9" x14ac:dyDescent="0.15">
      <c r="A2050" s="6">
        <v>2049</v>
      </c>
      <c r="B2050" s="7" t="s">
        <v>9</v>
      </c>
      <c r="C2050" s="8">
        <v>1883</v>
      </c>
      <c r="D2050" s="9">
        <v>45395</v>
      </c>
      <c r="E2050" s="13" t="str">
        <f>+HYPERLINK("http://trademark.i-assist.jp/data/china/image_1883th/76449632.pdf","76449632")</f>
        <v>76449632</v>
      </c>
      <c r="F2050" s="7" t="s">
        <v>5631</v>
      </c>
      <c r="G2050" s="7" t="s">
        <v>5632</v>
      </c>
      <c r="H2050" s="7" t="s">
        <v>5633</v>
      </c>
      <c r="I2050" s="9">
        <v>45308</v>
      </c>
    </row>
    <row r="2051" spans="1:9" x14ac:dyDescent="0.15">
      <c r="A2051" s="6">
        <v>2050</v>
      </c>
      <c r="B2051" s="7" t="s">
        <v>9</v>
      </c>
      <c r="C2051" s="8">
        <v>1883</v>
      </c>
      <c r="D2051" s="9">
        <v>45395</v>
      </c>
      <c r="E2051" s="13" t="str">
        <f>+HYPERLINK("http://trademark.i-assist.jp/data/china/image_1883th/76449636.pdf","76449636")</f>
        <v>76449636</v>
      </c>
      <c r="F2051" s="7" t="s">
        <v>5634</v>
      </c>
      <c r="G2051" s="7" t="s">
        <v>5635</v>
      </c>
      <c r="H2051" s="7" t="s">
        <v>5636</v>
      </c>
      <c r="I2051" s="9">
        <v>45308</v>
      </c>
    </row>
    <row r="2052" spans="1:9" x14ac:dyDescent="0.15">
      <c r="A2052" s="6">
        <v>2051</v>
      </c>
      <c r="B2052" s="7" t="s">
        <v>9</v>
      </c>
      <c r="C2052" s="8">
        <v>1883</v>
      </c>
      <c r="D2052" s="9">
        <v>45395</v>
      </c>
      <c r="E2052" s="13" t="str">
        <f>+HYPERLINK("http://trademark.i-assist.jp/data/china/image_1883th/76449913.pdf","76449913")</f>
        <v>76449913</v>
      </c>
      <c r="F2052" s="7" t="s">
        <v>5637</v>
      </c>
      <c r="G2052" s="7" t="s">
        <v>5638</v>
      </c>
      <c r="H2052" s="7" t="s">
        <v>5639</v>
      </c>
      <c r="I2052" s="9">
        <v>45308</v>
      </c>
    </row>
    <row r="2053" spans="1:9" ht="27" x14ac:dyDescent="0.15">
      <c r="A2053" s="6">
        <v>2052</v>
      </c>
      <c r="B2053" s="7" t="s">
        <v>9</v>
      </c>
      <c r="C2053" s="8">
        <v>1883</v>
      </c>
      <c r="D2053" s="9">
        <v>45395</v>
      </c>
      <c r="E2053" s="13" t="str">
        <f>+HYPERLINK("http://trademark.i-assist.jp/data/china/image_1883th/76449985.pdf","76449985")</f>
        <v>76449985</v>
      </c>
      <c r="F2053" s="7" t="s">
        <v>5640</v>
      </c>
      <c r="G2053" s="7" t="s">
        <v>5501</v>
      </c>
      <c r="H2053" s="7" t="s">
        <v>5641</v>
      </c>
      <c r="I2053" s="9">
        <v>45308</v>
      </c>
    </row>
    <row r="2054" spans="1:9" x14ac:dyDescent="0.15">
      <c r="A2054" s="6">
        <v>2053</v>
      </c>
      <c r="B2054" s="7" t="s">
        <v>9</v>
      </c>
      <c r="C2054" s="8">
        <v>1883</v>
      </c>
      <c r="D2054" s="9">
        <v>45395</v>
      </c>
      <c r="E2054" s="13" t="str">
        <f>+HYPERLINK("http://trademark.i-assist.jp/data/china/image_1883th/76450036.pdf","76450036")</f>
        <v>76450036</v>
      </c>
      <c r="F2054" s="7" t="s">
        <v>5642</v>
      </c>
      <c r="G2054" s="7" t="s">
        <v>5643</v>
      </c>
      <c r="H2054" s="7" t="s">
        <v>5644</v>
      </c>
      <c r="I2054" s="9">
        <v>45308</v>
      </c>
    </row>
    <row r="2055" spans="1:9" x14ac:dyDescent="0.15">
      <c r="A2055" s="6">
        <v>2054</v>
      </c>
      <c r="B2055" s="7" t="s">
        <v>9</v>
      </c>
      <c r="C2055" s="8">
        <v>1883</v>
      </c>
      <c r="D2055" s="9">
        <v>45395</v>
      </c>
      <c r="E2055" s="13" t="str">
        <f>+HYPERLINK("http://trademark.i-assist.jp/data/china/image_1883th/76450046.pdf","76450046")</f>
        <v>76450046</v>
      </c>
      <c r="F2055" s="7" t="s">
        <v>5645</v>
      </c>
      <c r="G2055" s="7" t="s">
        <v>5643</v>
      </c>
      <c r="H2055" s="7" t="s">
        <v>5646</v>
      </c>
      <c r="I2055" s="9">
        <v>45308</v>
      </c>
    </row>
    <row r="2056" spans="1:9" x14ac:dyDescent="0.15">
      <c r="A2056" s="6">
        <v>2055</v>
      </c>
      <c r="B2056" s="7" t="s">
        <v>9</v>
      </c>
      <c r="C2056" s="8">
        <v>1883</v>
      </c>
      <c r="D2056" s="9">
        <v>45395</v>
      </c>
      <c r="E2056" s="13" t="str">
        <f>+HYPERLINK("http://trademark.i-assist.jp/data/china/image_1883th/76450054.pdf","76450054")</f>
        <v>76450054</v>
      </c>
      <c r="F2056" s="7" t="s">
        <v>5647</v>
      </c>
      <c r="G2056" s="7" t="s">
        <v>5463</v>
      </c>
      <c r="H2056" s="7" t="s">
        <v>5648</v>
      </c>
      <c r="I2056" s="9">
        <v>45308</v>
      </c>
    </row>
    <row r="2057" spans="1:9" x14ac:dyDescent="0.15">
      <c r="A2057" s="6">
        <v>2056</v>
      </c>
      <c r="B2057" s="7" t="s">
        <v>9</v>
      </c>
      <c r="C2057" s="8">
        <v>1883</v>
      </c>
      <c r="D2057" s="9">
        <v>45395</v>
      </c>
      <c r="E2057" s="13" t="str">
        <f>+HYPERLINK("http://trademark.i-assist.jp/data/china/image_1883th/76450065.pdf","76450065")</f>
        <v>76450065</v>
      </c>
      <c r="F2057" s="7" t="s">
        <v>5649</v>
      </c>
      <c r="G2057" s="7" t="s">
        <v>5650</v>
      </c>
      <c r="H2057" s="7" t="s">
        <v>5651</v>
      </c>
      <c r="I2057" s="9">
        <v>45308</v>
      </c>
    </row>
    <row r="2058" spans="1:9" x14ac:dyDescent="0.15">
      <c r="A2058" s="6">
        <v>2057</v>
      </c>
      <c r="B2058" s="7" t="s">
        <v>9</v>
      </c>
      <c r="C2058" s="8">
        <v>1883</v>
      </c>
      <c r="D2058" s="9">
        <v>45395</v>
      </c>
      <c r="E2058" s="13" t="str">
        <f>+HYPERLINK("http://trademark.i-assist.jp/data/china/image_1883th/76450077.pdf","76450077")</f>
        <v>76450077</v>
      </c>
      <c r="F2058" s="7" t="s">
        <v>5652</v>
      </c>
      <c r="G2058" s="7" t="s">
        <v>5317</v>
      </c>
      <c r="H2058" s="7" t="s">
        <v>5653</v>
      </c>
      <c r="I2058" s="9">
        <v>45308</v>
      </c>
    </row>
    <row r="2059" spans="1:9" x14ac:dyDescent="0.15">
      <c r="A2059" s="6">
        <v>2058</v>
      </c>
      <c r="B2059" s="7" t="s">
        <v>9</v>
      </c>
      <c r="C2059" s="8">
        <v>1883</v>
      </c>
      <c r="D2059" s="9">
        <v>45395</v>
      </c>
      <c r="E2059" s="13" t="str">
        <f>+HYPERLINK("http://trademark.i-assist.jp/data/china/image_1883th/76450203.pdf","76450203")</f>
        <v>76450203</v>
      </c>
      <c r="F2059" s="7" t="s">
        <v>5654</v>
      </c>
      <c r="G2059" s="7" t="s">
        <v>5394</v>
      </c>
      <c r="H2059" s="7" t="s">
        <v>5655</v>
      </c>
      <c r="I2059" s="9">
        <v>45308</v>
      </c>
    </row>
    <row r="2060" spans="1:9" x14ac:dyDescent="0.15">
      <c r="A2060" s="6">
        <v>2059</v>
      </c>
      <c r="B2060" s="7" t="s">
        <v>9</v>
      </c>
      <c r="C2060" s="8">
        <v>1883</v>
      </c>
      <c r="D2060" s="9">
        <v>45395</v>
      </c>
      <c r="E2060" s="13" t="str">
        <f>+HYPERLINK("http://trademark.i-assist.jp/data/china/image_1883th/76450216.pdf","76450216")</f>
        <v>76450216</v>
      </c>
      <c r="F2060" s="7" t="s">
        <v>5656</v>
      </c>
      <c r="G2060" s="7" t="s">
        <v>5657</v>
      </c>
      <c r="H2060" s="7" t="s">
        <v>5658</v>
      </c>
      <c r="I2060" s="9">
        <v>45308</v>
      </c>
    </row>
    <row r="2061" spans="1:9" x14ac:dyDescent="0.15">
      <c r="A2061" s="6">
        <v>2060</v>
      </c>
      <c r="B2061" s="7" t="s">
        <v>9</v>
      </c>
      <c r="C2061" s="8">
        <v>1883</v>
      </c>
      <c r="D2061" s="9">
        <v>45395</v>
      </c>
      <c r="E2061" s="13" t="str">
        <f>+HYPERLINK("http://trademark.i-assist.jp/data/china/image_1883th/76450278.pdf","76450278")</f>
        <v>76450278</v>
      </c>
      <c r="F2061" s="7" t="s">
        <v>5659</v>
      </c>
      <c r="G2061" s="7" t="s">
        <v>5660</v>
      </c>
      <c r="H2061" s="7" t="s">
        <v>5661</v>
      </c>
      <c r="I2061" s="9">
        <v>45308</v>
      </c>
    </row>
    <row r="2062" spans="1:9" x14ac:dyDescent="0.15">
      <c r="A2062" s="6">
        <v>2061</v>
      </c>
      <c r="B2062" s="7" t="s">
        <v>9</v>
      </c>
      <c r="C2062" s="8">
        <v>1883</v>
      </c>
      <c r="D2062" s="9">
        <v>45395</v>
      </c>
      <c r="E2062" s="13" t="str">
        <f>+HYPERLINK("http://trademark.i-assist.jp/data/china/image_1883th/76450330.pdf","76450330")</f>
        <v>76450330</v>
      </c>
      <c r="F2062" s="7" t="s">
        <v>5662</v>
      </c>
      <c r="G2062" s="7" t="s">
        <v>5663</v>
      </c>
      <c r="H2062" s="7" t="s">
        <v>5664</v>
      </c>
      <c r="I2062" s="9">
        <v>45308</v>
      </c>
    </row>
    <row r="2063" spans="1:9" x14ac:dyDescent="0.15">
      <c r="A2063" s="6">
        <v>2062</v>
      </c>
      <c r="B2063" s="7" t="s">
        <v>9</v>
      </c>
      <c r="C2063" s="8">
        <v>1883</v>
      </c>
      <c r="D2063" s="9">
        <v>45395</v>
      </c>
      <c r="E2063" s="13" t="str">
        <f>+HYPERLINK("http://trademark.i-assist.jp/data/china/image_1883th/76450446.pdf","76450446")</f>
        <v>76450446</v>
      </c>
      <c r="F2063" s="7" t="s">
        <v>5665</v>
      </c>
      <c r="G2063" s="7" t="s">
        <v>5666</v>
      </c>
      <c r="H2063" s="7" t="s">
        <v>5667</v>
      </c>
      <c r="I2063" s="9">
        <v>45308</v>
      </c>
    </row>
    <row r="2064" spans="1:9" x14ac:dyDescent="0.15">
      <c r="A2064" s="6">
        <v>2063</v>
      </c>
      <c r="B2064" s="7" t="s">
        <v>9</v>
      </c>
      <c r="C2064" s="8">
        <v>1883</v>
      </c>
      <c r="D2064" s="9">
        <v>45395</v>
      </c>
      <c r="E2064" s="13" t="str">
        <f>+HYPERLINK("http://trademark.i-assist.jp/data/china/image_1883th/76450484.pdf","76450484")</f>
        <v>76450484</v>
      </c>
      <c r="F2064" s="7" t="s">
        <v>5668</v>
      </c>
      <c r="G2064" s="7" t="s">
        <v>5669</v>
      </c>
      <c r="H2064" s="7" t="s">
        <v>5670</v>
      </c>
      <c r="I2064" s="9">
        <v>45308</v>
      </c>
    </row>
    <row r="2065" spans="1:9" x14ac:dyDescent="0.15">
      <c r="A2065" s="6">
        <v>2064</v>
      </c>
      <c r="B2065" s="7" t="s">
        <v>9</v>
      </c>
      <c r="C2065" s="8">
        <v>1883</v>
      </c>
      <c r="D2065" s="9">
        <v>45395</v>
      </c>
      <c r="E2065" s="13" t="str">
        <f>+HYPERLINK("http://trademark.i-assist.jp/data/china/image_1883th/76450507.pdf","76450507")</f>
        <v>76450507</v>
      </c>
      <c r="F2065" s="7" t="s">
        <v>5671</v>
      </c>
      <c r="G2065" s="7" t="s">
        <v>5672</v>
      </c>
      <c r="H2065" s="7" t="s">
        <v>5673</v>
      </c>
      <c r="I2065" s="9">
        <v>45308</v>
      </c>
    </row>
    <row r="2066" spans="1:9" x14ac:dyDescent="0.15">
      <c r="A2066" s="6">
        <v>2065</v>
      </c>
      <c r="B2066" s="7" t="s">
        <v>9</v>
      </c>
      <c r="C2066" s="8">
        <v>1883</v>
      </c>
      <c r="D2066" s="9">
        <v>45395</v>
      </c>
      <c r="E2066" s="13" t="str">
        <f>+HYPERLINK("http://trademark.i-assist.jp/data/china/image_1883th/76450524.pdf","76450524")</f>
        <v>76450524</v>
      </c>
      <c r="F2066" s="7" t="s">
        <v>5674</v>
      </c>
      <c r="G2066" s="7" t="s">
        <v>5672</v>
      </c>
      <c r="H2066" s="7" t="s">
        <v>5675</v>
      </c>
      <c r="I2066" s="9">
        <v>45308</v>
      </c>
    </row>
    <row r="2067" spans="1:9" x14ac:dyDescent="0.15">
      <c r="A2067" s="6">
        <v>2066</v>
      </c>
      <c r="B2067" s="7" t="s">
        <v>9</v>
      </c>
      <c r="C2067" s="8">
        <v>1883</v>
      </c>
      <c r="D2067" s="9">
        <v>45395</v>
      </c>
      <c r="E2067" s="13" t="str">
        <f>+HYPERLINK("http://trademark.i-assist.jp/data/china/image_1883th/76450664.pdf","76450664")</f>
        <v>76450664</v>
      </c>
      <c r="F2067" s="7" t="s">
        <v>5676</v>
      </c>
      <c r="G2067" s="7" t="s">
        <v>5677</v>
      </c>
      <c r="H2067" s="7" t="s">
        <v>5678</v>
      </c>
      <c r="I2067" s="9">
        <v>45308</v>
      </c>
    </row>
    <row r="2068" spans="1:9" x14ac:dyDescent="0.15">
      <c r="A2068" s="6">
        <v>2067</v>
      </c>
      <c r="B2068" s="7" t="s">
        <v>9</v>
      </c>
      <c r="C2068" s="8">
        <v>1883</v>
      </c>
      <c r="D2068" s="9">
        <v>45395</v>
      </c>
      <c r="E2068" s="13" t="str">
        <f>+HYPERLINK("http://trademark.i-assist.jp/data/china/image_1883th/76450690.pdf","76450690")</f>
        <v>76450690</v>
      </c>
      <c r="F2068" s="7" t="s">
        <v>5679</v>
      </c>
      <c r="G2068" s="7" t="s">
        <v>5680</v>
      </c>
      <c r="H2068" s="7" t="s">
        <v>5681</v>
      </c>
      <c r="I2068" s="9">
        <v>45308</v>
      </c>
    </row>
    <row r="2069" spans="1:9" x14ac:dyDescent="0.15">
      <c r="A2069" s="6">
        <v>2068</v>
      </c>
      <c r="B2069" s="7" t="s">
        <v>9</v>
      </c>
      <c r="C2069" s="8">
        <v>1883</v>
      </c>
      <c r="D2069" s="9">
        <v>45395</v>
      </c>
      <c r="E2069" s="13" t="str">
        <f>+HYPERLINK("http://trademark.i-assist.jp/data/china/image_1883th/76450723.pdf","76450723")</f>
        <v>76450723</v>
      </c>
      <c r="F2069" s="7" t="s">
        <v>57</v>
      </c>
      <c r="G2069" s="7" t="s">
        <v>5369</v>
      </c>
      <c r="H2069" s="7" t="s">
        <v>5682</v>
      </c>
      <c r="I2069" s="9">
        <v>45308</v>
      </c>
    </row>
    <row r="2070" spans="1:9" x14ac:dyDescent="0.15">
      <c r="A2070" s="6">
        <v>2069</v>
      </c>
      <c r="B2070" s="7" t="s">
        <v>9</v>
      </c>
      <c r="C2070" s="8">
        <v>1883</v>
      </c>
      <c r="D2070" s="9">
        <v>45395</v>
      </c>
      <c r="E2070" s="13" t="str">
        <f>+HYPERLINK("http://trademark.i-assist.jp/data/china/image_1883th/76450965.pdf","76450965")</f>
        <v>76450965</v>
      </c>
      <c r="F2070" s="7" t="s">
        <v>5683</v>
      </c>
      <c r="G2070" s="7" t="s">
        <v>4909</v>
      </c>
      <c r="H2070" s="7" t="s">
        <v>5684</v>
      </c>
      <c r="I2070" s="9">
        <v>45308</v>
      </c>
    </row>
    <row r="2071" spans="1:9" x14ac:dyDescent="0.15">
      <c r="A2071" s="6">
        <v>2070</v>
      </c>
      <c r="B2071" s="7" t="s">
        <v>9</v>
      </c>
      <c r="C2071" s="8">
        <v>1883</v>
      </c>
      <c r="D2071" s="9">
        <v>45395</v>
      </c>
      <c r="E2071" s="13" t="str">
        <f>+HYPERLINK("http://trademark.i-assist.jp/data/china/image_1883th/76451080.pdf","76451080")</f>
        <v>76451080</v>
      </c>
      <c r="F2071" s="7" t="s">
        <v>5685</v>
      </c>
      <c r="G2071" s="7" t="s">
        <v>5335</v>
      </c>
      <c r="H2071" s="7" t="s">
        <v>5686</v>
      </c>
      <c r="I2071" s="9">
        <v>45308</v>
      </c>
    </row>
    <row r="2072" spans="1:9" x14ac:dyDescent="0.15">
      <c r="A2072" s="6">
        <v>2071</v>
      </c>
      <c r="B2072" s="7" t="s">
        <v>9</v>
      </c>
      <c r="C2072" s="8">
        <v>1883</v>
      </c>
      <c r="D2072" s="9">
        <v>45395</v>
      </c>
      <c r="E2072" s="13" t="str">
        <f>+HYPERLINK("http://trademark.i-assist.jp/data/china/image_1883th/76451120.pdf","76451120")</f>
        <v>76451120</v>
      </c>
      <c r="F2072" s="7" t="s">
        <v>5687</v>
      </c>
      <c r="G2072" s="7" t="s">
        <v>5688</v>
      </c>
      <c r="H2072" s="7" t="s">
        <v>5689</v>
      </c>
      <c r="I2072" s="9">
        <v>45308</v>
      </c>
    </row>
    <row r="2073" spans="1:9" x14ac:dyDescent="0.15">
      <c r="A2073" s="6">
        <v>2072</v>
      </c>
      <c r="B2073" s="7" t="s">
        <v>9</v>
      </c>
      <c r="C2073" s="8">
        <v>1883</v>
      </c>
      <c r="D2073" s="9">
        <v>45395</v>
      </c>
      <c r="E2073" s="13" t="str">
        <f>+HYPERLINK("http://trademark.i-assist.jp/data/china/image_1883th/76451479.pdf","76451479")</f>
        <v>76451479</v>
      </c>
      <c r="F2073" s="7" t="s">
        <v>5690</v>
      </c>
      <c r="G2073" s="7" t="s">
        <v>5691</v>
      </c>
      <c r="H2073" s="7" t="s">
        <v>5692</v>
      </c>
      <c r="I2073" s="9">
        <v>45308</v>
      </c>
    </row>
    <row r="2074" spans="1:9" ht="27" x14ac:dyDescent="0.15">
      <c r="A2074" s="6">
        <v>2073</v>
      </c>
      <c r="B2074" s="7" t="s">
        <v>9</v>
      </c>
      <c r="C2074" s="8">
        <v>1883</v>
      </c>
      <c r="D2074" s="9">
        <v>45395</v>
      </c>
      <c r="E2074" s="13" t="str">
        <f>+HYPERLINK("http://trademark.i-assist.jp/data/china/image_1883th/76451567.pdf","76451567")</f>
        <v>76451567</v>
      </c>
      <c r="F2074" s="7" t="s">
        <v>5693</v>
      </c>
      <c r="G2074" s="7" t="s">
        <v>5694</v>
      </c>
      <c r="H2074" s="7" t="s">
        <v>5695</v>
      </c>
      <c r="I2074" s="9">
        <v>45308</v>
      </c>
    </row>
    <row r="2075" spans="1:9" ht="27" x14ac:dyDescent="0.15">
      <c r="A2075" s="6">
        <v>2074</v>
      </c>
      <c r="B2075" s="7" t="s">
        <v>9</v>
      </c>
      <c r="C2075" s="8">
        <v>1883</v>
      </c>
      <c r="D2075" s="9">
        <v>45395</v>
      </c>
      <c r="E2075" s="13" t="str">
        <f>+HYPERLINK("http://trademark.i-assist.jp/data/china/image_1883th/76451612.pdf","76451612")</f>
        <v>76451612</v>
      </c>
      <c r="F2075" s="7" t="s">
        <v>5696</v>
      </c>
      <c r="G2075" s="7" t="s">
        <v>1290</v>
      </c>
      <c r="H2075" s="7" t="s">
        <v>5697</v>
      </c>
      <c r="I2075" s="9">
        <v>45308</v>
      </c>
    </row>
    <row r="2076" spans="1:9" ht="27" x14ac:dyDescent="0.15">
      <c r="A2076" s="6">
        <v>2075</v>
      </c>
      <c r="B2076" s="7" t="s">
        <v>9</v>
      </c>
      <c r="C2076" s="8">
        <v>1883</v>
      </c>
      <c r="D2076" s="9">
        <v>45395</v>
      </c>
      <c r="E2076" s="13" t="str">
        <f>+HYPERLINK("http://trademark.i-assist.jp/data/china/image_1883th/76451633.pdf","76451633")</f>
        <v>76451633</v>
      </c>
      <c r="F2076" s="7" t="s">
        <v>5698</v>
      </c>
      <c r="G2076" s="7" t="s">
        <v>5699</v>
      </c>
      <c r="H2076" s="7" t="s">
        <v>5700</v>
      </c>
      <c r="I2076" s="9">
        <v>45308</v>
      </c>
    </row>
    <row r="2077" spans="1:9" x14ac:dyDescent="0.15">
      <c r="A2077" s="6">
        <v>2076</v>
      </c>
      <c r="B2077" s="7" t="s">
        <v>9</v>
      </c>
      <c r="C2077" s="8">
        <v>1883</v>
      </c>
      <c r="D2077" s="9">
        <v>45395</v>
      </c>
      <c r="E2077" s="13" t="str">
        <f>+HYPERLINK("http://trademark.i-assist.jp/data/china/image_1883th/76451707.pdf","76451707")</f>
        <v>76451707</v>
      </c>
      <c r="F2077" s="7" t="s">
        <v>5701</v>
      </c>
      <c r="G2077" s="7" t="s">
        <v>5702</v>
      </c>
      <c r="H2077" s="7" t="s">
        <v>5703</v>
      </c>
      <c r="I2077" s="9">
        <v>45308</v>
      </c>
    </row>
    <row r="2078" spans="1:9" x14ac:dyDescent="0.15">
      <c r="A2078" s="6">
        <v>2077</v>
      </c>
      <c r="B2078" s="7" t="s">
        <v>9</v>
      </c>
      <c r="C2078" s="8">
        <v>1883</v>
      </c>
      <c r="D2078" s="9">
        <v>45395</v>
      </c>
      <c r="E2078" s="13" t="str">
        <f>+HYPERLINK("http://trademark.i-assist.jp/data/china/image_1883th/76452061.pdf","76452061")</f>
        <v>76452061</v>
      </c>
      <c r="F2078" s="7" t="s">
        <v>5704</v>
      </c>
      <c r="G2078" s="7" t="s">
        <v>4825</v>
      </c>
      <c r="H2078" s="7" t="s">
        <v>5705</v>
      </c>
      <c r="I2078" s="9">
        <v>45308</v>
      </c>
    </row>
    <row r="2079" spans="1:9" x14ac:dyDescent="0.15">
      <c r="A2079" s="6">
        <v>2078</v>
      </c>
      <c r="B2079" s="7" t="s">
        <v>9</v>
      </c>
      <c r="C2079" s="8">
        <v>1883</v>
      </c>
      <c r="D2079" s="9">
        <v>45395</v>
      </c>
      <c r="E2079" s="13" t="str">
        <f>+HYPERLINK("http://trademark.i-assist.jp/data/china/image_1883th/76452077.pdf","76452077")</f>
        <v>76452077</v>
      </c>
      <c r="F2079" s="7" t="s">
        <v>5706</v>
      </c>
      <c r="G2079" s="7" t="s">
        <v>5261</v>
      </c>
      <c r="H2079" s="7" t="s">
        <v>5707</v>
      </c>
      <c r="I2079" s="9">
        <v>45308</v>
      </c>
    </row>
    <row r="2080" spans="1:9" ht="27" x14ac:dyDescent="0.15">
      <c r="A2080" s="6">
        <v>2079</v>
      </c>
      <c r="B2080" s="7" t="s">
        <v>9</v>
      </c>
      <c r="C2080" s="8">
        <v>1883</v>
      </c>
      <c r="D2080" s="9">
        <v>45395</v>
      </c>
      <c r="E2080" s="13" t="str">
        <f>+HYPERLINK("http://trademark.i-assist.jp/data/china/image_1883th/76452086.pdf","76452086")</f>
        <v>76452086</v>
      </c>
      <c r="F2080" s="7" t="s">
        <v>5708</v>
      </c>
      <c r="G2080" s="7" t="s">
        <v>5709</v>
      </c>
      <c r="H2080" s="7" t="s">
        <v>5710</v>
      </c>
      <c r="I2080" s="9">
        <v>45308</v>
      </c>
    </row>
    <row r="2081" spans="1:9" x14ac:dyDescent="0.15">
      <c r="A2081" s="6">
        <v>2080</v>
      </c>
      <c r="B2081" s="7" t="s">
        <v>9</v>
      </c>
      <c r="C2081" s="8">
        <v>1883</v>
      </c>
      <c r="D2081" s="9">
        <v>45395</v>
      </c>
      <c r="E2081" s="13" t="str">
        <f>+HYPERLINK("http://trademark.i-assist.jp/data/china/image_1883th/76452219.pdf","76452219")</f>
        <v>76452219</v>
      </c>
      <c r="F2081" s="7" t="s">
        <v>5711</v>
      </c>
      <c r="G2081" s="7" t="s">
        <v>5712</v>
      </c>
      <c r="H2081" s="7" t="s">
        <v>5713</v>
      </c>
      <c r="I2081" s="9">
        <v>45308</v>
      </c>
    </row>
    <row r="2082" spans="1:9" ht="27" x14ac:dyDescent="0.15">
      <c r="A2082" s="6">
        <v>2081</v>
      </c>
      <c r="B2082" s="7" t="s">
        <v>9</v>
      </c>
      <c r="C2082" s="8">
        <v>1883</v>
      </c>
      <c r="D2082" s="9">
        <v>45395</v>
      </c>
      <c r="E2082" s="13" t="str">
        <f>+HYPERLINK("http://trademark.i-assist.jp/data/china/image_1883th/76452272.pdf","76452272")</f>
        <v>76452272</v>
      </c>
      <c r="F2082" s="7" t="s">
        <v>5714</v>
      </c>
      <c r="G2082" s="7" t="s">
        <v>5715</v>
      </c>
      <c r="H2082" s="7" t="s">
        <v>5716</v>
      </c>
      <c r="I2082" s="9">
        <v>45308</v>
      </c>
    </row>
    <row r="2083" spans="1:9" x14ac:dyDescent="0.15">
      <c r="A2083" s="6">
        <v>2082</v>
      </c>
      <c r="B2083" s="7" t="s">
        <v>9</v>
      </c>
      <c r="C2083" s="8">
        <v>1883</v>
      </c>
      <c r="D2083" s="9">
        <v>45395</v>
      </c>
      <c r="E2083" s="13" t="str">
        <f>+HYPERLINK("http://trademark.i-assist.jp/data/china/image_1883th/76452503.pdf","76452503")</f>
        <v>76452503</v>
      </c>
      <c r="F2083" s="7" t="s">
        <v>5268</v>
      </c>
      <c r="G2083" s="7" t="s">
        <v>5269</v>
      </c>
      <c r="H2083" s="7" t="s">
        <v>5717</v>
      </c>
      <c r="I2083" s="9">
        <v>45308</v>
      </c>
    </row>
    <row r="2084" spans="1:9" ht="27" x14ac:dyDescent="0.15">
      <c r="A2084" s="6">
        <v>2083</v>
      </c>
      <c r="B2084" s="7" t="s">
        <v>9</v>
      </c>
      <c r="C2084" s="8">
        <v>1883</v>
      </c>
      <c r="D2084" s="9">
        <v>45395</v>
      </c>
      <c r="E2084" s="13" t="str">
        <f>+HYPERLINK("http://trademark.i-assist.jp/data/china/image_1883th/76452662.pdf","76452662")</f>
        <v>76452662</v>
      </c>
      <c r="F2084" s="7" t="s">
        <v>5718</v>
      </c>
      <c r="G2084" s="7" t="s">
        <v>5719</v>
      </c>
      <c r="H2084" s="7" t="s">
        <v>5720</v>
      </c>
      <c r="I2084" s="9">
        <v>45308</v>
      </c>
    </row>
    <row r="2085" spans="1:9" x14ac:dyDescent="0.15">
      <c r="A2085" s="6">
        <v>2084</v>
      </c>
      <c r="B2085" s="7" t="s">
        <v>9</v>
      </c>
      <c r="C2085" s="8">
        <v>1883</v>
      </c>
      <c r="D2085" s="9">
        <v>45395</v>
      </c>
      <c r="E2085" s="13" t="str">
        <f>+HYPERLINK("http://trademark.i-assist.jp/data/china/image_1883th/76452741.pdf","76452741")</f>
        <v>76452741</v>
      </c>
      <c r="F2085" s="7" t="s">
        <v>5721</v>
      </c>
      <c r="G2085" s="7" t="s">
        <v>5367</v>
      </c>
      <c r="H2085" s="7" t="s">
        <v>5722</v>
      </c>
      <c r="I2085" s="9">
        <v>45308</v>
      </c>
    </row>
    <row r="2086" spans="1:9" ht="27" x14ac:dyDescent="0.15">
      <c r="A2086" s="6">
        <v>2085</v>
      </c>
      <c r="B2086" s="7" t="s">
        <v>9</v>
      </c>
      <c r="C2086" s="8">
        <v>1883</v>
      </c>
      <c r="D2086" s="9">
        <v>45395</v>
      </c>
      <c r="E2086" s="13" t="str">
        <f>+HYPERLINK("http://trademark.i-assist.jp/data/china/image_1883th/76452815.pdf","76452815")</f>
        <v>76452815</v>
      </c>
      <c r="F2086" s="7" t="s">
        <v>57</v>
      </c>
      <c r="G2086" s="7" t="s">
        <v>1739</v>
      </c>
      <c r="H2086" s="7" t="s">
        <v>5723</v>
      </c>
      <c r="I2086" s="9">
        <v>45308</v>
      </c>
    </row>
    <row r="2087" spans="1:9" x14ac:dyDescent="0.15">
      <c r="A2087" s="6">
        <v>2086</v>
      </c>
      <c r="B2087" s="7" t="s">
        <v>9</v>
      </c>
      <c r="C2087" s="8">
        <v>1883</v>
      </c>
      <c r="D2087" s="9">
        <v>45395</v>
      </c>
      <c r="E2087" s="13" t="str">
        <f>+HYPERLINK("http://trademark.i-assist.jp/data/china/image_1883th/76452838.pdf","76452838")</f>
        <v>76452838</v>
      </c>
      <c r="F2087" s="7" t="s">
        <v>5724</v>
      </c>
      <c r="G2087" s="7" t="s">
        <v>5423</v>
      </c>
      <c r="H2087" s="7" t="s">
        <v>5725</v>
      </c>
      <c r="I2087" s="9">
        <v>45308</v>
      </c>
    </row>
    <row r="2088" spans="1:9" x14ac:dyDescent="0.15">
      <c r="A2088" s="6">
        <v>2087</v>
      </c>
      <c r="B2088" s="7" t="s">
        <v>9</v>
      </c>
      <c r="C2088" s="8">
        <v>1883</v>
      </c>
      <c r="D2088" s="9">
        <v>45395</v>
      </c>
      <c r="E2088" s="13" t="str">
        <f>+HYPERLINK("http://trademark.i-assist.jp/data/china/image_1883th/76452925.pdf","76452925")</f>
        <v>76452925</v>
      </c>
      <c r="F2088" s="7" t="s">
        <v>5726</v>
      </c>
      <c r="G2088" s="7" t="s">
        <v>5727</v>
      </c>
      <c r="H2088" s="7" t="s">
        <v>5728</v>
      </c>
      <c r="I2088" s="9">
        <v>45308</v>
      </c>
    </row>
    <row r="2089" spans="1:9" x14ac:dyDescent="0.15">
      <c r="A2089" s="6">
        <v>2088</v>
      </c>
      <c r="B2089" s="7" t="s">
        <v>9</v>
      </c>
      <c r="C2089" s="8">
        <v>1883</v>
      </c>
      <c r="D2089" s="9">
        <v>45395</v>
      </c>
      <c r="E2089" s="13" t="str">
        <f>+HYPERLINK("http://trademark.i-assist.jp/data/china/image_1883th/76453164.pdf","76453164")</f>
        <v>76453164</v>
      </c>
      <c r="F2089" s="7" t="s">
        <v>5729</v>
      </c>
      <c r="G2089" s="7" t="s">
        <v>5730</v>
      </c>
      <c r="H2089" s="7" t="s">
        <v>5731</v>
      </c>
      <c r="I2089" s="9">
        <v>45308</v>
      </c>
    </row>
    <row r="2090" spans="1:9" x14ac:dyDescent="0.15">
      <c r="A2090" s="6">
        <v>2089</v>
      </c>
      <c r="B2090" s="7" t="s">
        <v>9</v>
      </c>
      <c r="C2090" s="8">
        <v>1883</v>
      </c>
      <c r="D2090" s="9">
        <v>45395</v>
      </c>
      <c r="E2090" s="13" t="str">
        <f>+HYPERLINK("http://trademark.i-assist.jp/data/china/image_1883th/76453378.pdf","76453378")</f>
        <v>76453378</v>
      </c>
      <c r="F2090" s="7" t="s">
        <v>5732</v>
      </c>
      <c r="G2090" s="7" t="s">
        <v>5463</v>
      </c>
      <c r="H2090" s="7" t="s">
        <v>5733</v>
      </c>
      <c r="I2090" s="9">
        <v>45308</v>
      </c>
    </row>
    <row r="2091" spans="1:9" x14ac:dyDescent="0.15">
      <c r="A2091" s="6">
        <v>2090</v>
      </c>
      <c r="B2091" s="7" t="s">
        <v>9</v>
      </c>
      <c r="C2091" s="8">
        <v>1883</v>
      </c>
      <c r="D2091" s="9">
        <v>45395</v>
      </c>
      <c r="E2091" s="13" t="str">
        <f>+HYPERLINK("http://trademark.i-assist.jp/data/china/image_1883th/76453418.pdf","76453418")</f>
        <v>76453418</v>
      </c>
      <c r="F2091" s="7" t="s">
        <v>5734</v>
      </c>
      <c r="G2091" s="7" t="s">
        <v>5420</v>
      </c>
      <c r="H2091" s="7" t="s">
        <v>5735</v>
      </c>
      <c r="I2091" s="9">
        <v>45308</v>
      </c>
    </row>
    <row r="2092" spans="1:9" ht="27" x14ac:dyDescent="0.15">
      <c r="A2092" s="6">
        <v>2091</v>
      </c>
      <c r="B2092" s="7" t="s">
        <v>9</v>
      </c>
      <c r="C2092" s="8">
        <v>1883</v>
      </c>
      <c r="D2092" s="9">
        <v>45395</v>
      </c>
      <c r="E2092" s="13" t="str">
        <f>+HYPERLINK("http://trademark.i-assist.jp/data/china/image_1883th/76453536.pdf","76453536")</f>
        <v>76453536</v>
      </c>
      <c r="F2092" s="7" t="s">
        <v>57</v>
      </c>
      <c r="G2092" s="7" t="s">
        <v>5736</v>
      </c>
      <c r="H2092" s="7" t="s">
        <v>5737</v>
      </c>
      <c r="I2092" s="9">
        <v>45308</v>
      </c>
    </row>
    <row r="2093" spans="1:9" ht="27" x14ac:dyDescent="0.15">
      <c r="A2093" s="6">
        <v>2092</v>
      </c>
      <c r="B2093" s="7" t="s">
        <v>9</v>
      </c>
      <c r="C2093" s="8">
        <v>1883</v>
      </c>
      <c r="D2093" s="9">
        <v>45395</v>
      </c>
      <c r="E2093" s="13" t="str">
        <f>+HYPERLINK("http://trademark.i-assist.jp/data/china/image_1883th/76453564.pdf","76453564")</f>
        <v>76453564</v>
      </c>
      <c r="F2093" s="7" t="s">
        <v>5605</v>
      </c>
      <c r="G2093" s="7" t="s">
        <v>4860</v>
      </c>
      <c r="H2093" s="7" t="s">
        <v>5738</v>
      </c>
      <c r="I2093" s="9">
        <v>45308</v>
      </c>
    </row>
    <row r="2094" spans="1:9" x14ac:dyDescent="0.15">
      <c r="A2094" s="6">
        <v>2093</v>
      </c>
      <c r="B2094" s="7" t="s">
        <v>9</v>
      </c>
      <c r="C2094" s="8">
        <v>1883</v>
      </c>
      <c r="D2094" s="9">
        <v>45395</v>
      </c>
      <c r="E2094" s="13" t="str">
        <f>+HYPERLINK("http://trademark.i-assist.jp/data/china/image_1883th/76453708.pdf","76453708")</f>
        <v>76453708</v>
      </c>
      <c r="F2094" s="7" t="s">
        <v>5739</v>
      </c>
      <c r="G2094" s="7" t="s">
        <v>5740</v>
      </c>
      <c r="H2094" s="7" t="s">
        <v>5741</v>
      </c>
      <c r="I2094" s="9">
        <v>45308</v>
      </c>
    </row>
    <row r="2095" spans="1:9" x14ac:dyDescent="0.15">
      <c r="A2095" s="6">
        <v>2094</v>
      </c>
      <c r="B2095" s="7" t="s">
        <v>9</v>
      </c>
      <c r="C2095" s="8">
        <v>1883</v>
      </c>
      <c r="D2095" s="9">
        <v>45395</v>
      </c>
      <c r="E2095" s="13" t="str">
        <f>+HYPERLINK("http://trademark.i-assist.jp/data/china/image_1883th/76453784.pdf","76453784")</f>
        <v>76453784</v>
      </c>
      <c r="F2095" s="7" t="s">
        <v>5742</v>
      </c>
      <c r="G2095" s="7" t="s">
        <v>5743</v>
      </c>
      <c r="H2095" s="7" t="s">
        <v>5744</v>
      </c>
      <c r="I2095" s="9">
        <v>45308</v>
      </c>
    </row>
    <row r="2096" spans="1:9" x14ac:dyDescent="0.15">
      <c r="A2096" s="6">
        <v>2095</v>
      </c>
      <c r="B2096" s="7" t="s">
        <v>9</v>
      </c>
      <c r="C2096" s="8">
        <v>1883</v>
      </c>
      <c r="D2096" s="9">
        <v>45395</v>
      </c>
      <c r="E2096" s="13" t="str">
        <f>+HYPERLINK("http://trademark.i-assist.jp/data/china/image_1883th/76453891.pdf","76453891")</f>
        <v>76453891</v>
      </c>
      <c r="F2096" s="7" t="s">
        <v>5745</v>
      </c>
      <c r="G2096" s="7" t="s">
        <v>5746</v>
      </c>
      <c r="H2096" s="7" t="s">
        <v>5747</v>
      </c>
      <c r="I2096" s="9">
        <v>45308</v>
      </c>
    </row>
    <row r="2097" spans="1:9" x14ac:dyDescent="0.15">
      <c r="A2097" s="6">
        <v>2096</v>
      </c>
      <c r="B2097" s="7" t="s">
        <v>9</v>
      </c>
      <c r="C2097" s="8">
        <v>1883</v>
      </c>
      <c r="D2097" s="9">
        <v>45395</v>
      </c>
      <c r="E2097" s="13" t="str">
        <f>+HYPERLINK("http://trademark.i-assist.jp/data/china/image_1883th/76454018.pdf","76454018")</f>
        <v>76454018</v>
      </c>
      <c r="F2097" s="7" t="s">
        <v>5748</v>
      </c>
      <c r="G2097" s="7" t="s">
        <v>5749</v>
      </c>
      <c r="H2097" s="7" t="s">
        <v>5750</v>
      </c>
      <c r="I2097" s="9">
        <v>45308</v>
      </c>
    </row>
    <row r="2098" spans="1:9" x14ac:dyDescent="0.15">
      <c r="A2098" s="6">
        <v>2097</v>
      </c>
      <c r="B2098" s="7" t="s">
        <v>9</v>
      </c>
      <c r="C2098" s="8">
        <v>1883</v>
      </c>
      <c r="D2098" s="9">
        <v>45395</v>
      </c>
      <c r="E2098" s="13" t="str">
        <f>+HYPERLINK("http://trademark.i-assist.jp/data/china/image_1883th/76454146.pdf","76454146")</f>
        <v>76454146</v>
      </c>
      <c r="F2098" s="7" t="s">
        <v>5751</v>
      </c>
      <c r="G2098" s="7" t="s">
        <v>5752</v>
      </c>
      <c r="H2098" s="7" t="s">
        <v>5753</v>
      </c>
      <c r="I2098" s="9">
        <v>45308</v>
      </c>
    </row>
    <row r="2099" spans="1:9" x14ac:dyDescent="0.15">
      <c r="A2099" s="6">
        <v>2098</v>
      </c>
      <c r="B2099" s="7" t="s">
        <v>9</v>
      </c>
      <c r="C2099" s="8">
        <v>1883</v>
      </c>
      <c r="D2099" s="9">
        <v>45395</v>
      </c>
      <c r="E2099" s="13" t="str">
        <f>+HYPERLINK("http://trademark.i-assist.jp/data/china/image_1883th/76454322.pdf","76454322")</f>
        <v>76454322</v>
      </c>
      <c r="F2099" s="7" t="s">
        <v>5754</v>
      </c>
      <c r="G2099" s="7" t="s">
        <v>5755</v>
      </c>
      <c r="H2099" s="7" t="s">
        <v>5756</v>
      </c>
      <c r="I2099" s="9">
        <v>45308</v>
      </c>
    </row>
    <row r="2100" spans="1:9" x14ac:dyDescent="0.15">
      <c r="A2100" s="6">
        <v>2099</v>
      </c>
      <c r="B2100" s="7" t="s">
        <v>9</v>
      </c>
      <c r="C2100" s="8">
        <v>1883</v>
      </c>
      <c r="D2100" s="9">
        <v>45395</v>
      </c>
      <c r="E2100" s="13" t="str">
        <f>+HYPERLINK("http://trademark.i-assist.jp/data/china/image_1883th/76454443.pdf","76454443")</f>
        <v>76454443</v>
      </c>
      <c r="F2100" s="7" t="s">
        <v>5757</v>
      </c>
      <c r="G2100" s="7" t="s">
        <v>5758</v>
      </c>
      <c r="H2100" s="7" t="s">
        <v>5759</v>
      </c>
      <c r="I2100" s="9">
        <v>45308</v>
      </c>
    </row>
    <row r="2101" spans="1:9" x14ac:dyDescent="0.15">
      <c r="A2101" s="6">
        <v>2100</v>
      </c>
      <c r="B2101" s="7" t="s">
        <v>9</v>
      </c>
      <c r="C2101" s="8">
        <v>1883</v>
      </c>
      <c r="D2101" s="9">
        <v>45395</v>
      </c>
      <c r="E2101" s="13" t="str">
        <f>+HYPERLINK("http://trademark.i-assist.jp/data/china/image_1883th/76454559.pdf","76454559")</f>
        <v>76454559</v>
      </c>
      <c r="F2101" s="7" t="s">
        <v>5760</v>
      </c>
      <c r="G2101" s="7" t="s">
        <v>5761</v>
      </c>
      <c r="H2101" s="7" t="s">
        <v>5762</v>
      </c>
      <c r="I2101" s="9">
        <v>45308</v>
      </c>
    </row>
    <row r="2102" spans="1:9" x14ac:dyDescent="0.15">
      <c r="A2102" s="6">
        <v>2101</v>
      </c>
      <c r="B2102" s="7" t="s">
        <v>9</v>
      </c>
      <c r="C2102" s="8">
        <v>1883</v>
      </c>
      <c r="D2102" s="9">
        <v>45395</v>
      </c>
      <c r="E2102" s="13" t="str">
        <f>+HYPERLINK("http://trademark.i-assist.jp/data/china/image_1883th/76454589.pdf","76454589")</f>
        <v>76454589</v>
      </c>
      <c r="F2102" s="7" t="s">
        <v>5763</v>
      </c>
      <c r="G2102" s="7" t="s">
        <v>5761</v>
      </c>
      <c r="H2102" s="7" t="s">
        <v>5764</v>
      </c>
      <c r="I2102" s="9">
        <v>45308</v>
      </c>
    </row>
    <row r="2103" spans="1:9" x14ac:dyDescent="0.15">
      <c r="A2103" s="6">
        <v>2102</v>
      </c>
      <c r="B2103" s="7" t="s">
        <v>9</v>
      </c>
      <c r="C2103" s="8">
        <v>1883</v>
      </c>
      <c r="D2103" s="9">
        <v>45395</v>
      </c>
      <c r="E2103" s="13" t="str">
        <f>+HYPERLINK("http://trademark.i-assist.jp/data/china/image_1883th/76454607.pdf","76454607")</f>
        <v>76454607</v>
      </c>
      <c r="F2103" s="7" t="s">
        <v>5765</v>
      </c>
      <c r="G2103" s="7" t="s">
        <v>5766</v>
      </c>
      <c r="H2103" s="7" t="s">
        <v>5767</v>
      </c>
      <c r="I2103" s="9">
        <v>45308</v>
      </c>
    </row>
    <row r="2104" spans="1:9" ht="27" x14ac:dyDescent="0.15">
      <c r="A2104" s="6">
        <v>2103</v>
      </c>
      <c r="B2104" s="7" t="s">
        <v>9</v>
      </c>
      <c r="C2104" s="8">
        <v>1883</v>
      </c>
      <c r="D2104" s="9">
        <v>45395</v>
      </c>
      <c r="E2104" s="13" t="str">
        <f>+HYPERLINK("http://trademark.i-assist.jp/data/china/image_1883th/76454725.pdf","76454725")</f>
        <v>76454725</v>
      </c>
      <c r="F2104" s="7" t="s">
        <v>5768</v>
      </c>
      <c r="G2104" s="7" t="s">
        <v>5769</v>
      </c>
      <c r="H2104" s="7" t="s">
        <v>5770</v>
      </c>
      <c r="I2104" s="9">
        <v>45308</v>
      </c>
    </row>
    <row r="2105" spans="1:9" x14ac:dyDescent="0.15">
      <c r="A2105" s="6">
        <v>2104</v>
      </c>
      <c r="B2105" s="7" t="s">
        <v>9</v>
      </c>
      <c r="C2105" s="8">
        <v>1883</v>
      </c>
      <c r="D2105" s="9">
        <v>45395</v>
      </c>
      <c r="E2105" s="13" t="str">
        <f>+HYPERLINK("http://trademark.i-assist.jp/data/china/image_1883th/76454785.pdf","76454785")</f>
        <v>76454785</v>
      </c>
      <c r="F2105" s="7" t="s">
        <v>5771</v>
      </c>
      <c r="G2105" s="7" t="s">
        <v>5772</v>
      </c>
      <c r="H2105" s="7" t="s">
        <v>5773</v>
      </c>
      <c r="I2105" s="9">
        <v>45308</v>
      </c>
    </row>
    <row r="2106" spans="1:9" x14ac:dyDescent="0.15">
      <c r="A2106" s="6">
        <v>2105</v>
      </c>
      <c r="B2106" s="7" t="s">
        <v>9</v>
      </c>
      <c r="C2106" s="8">
        <v>1883</v>
      </c>
      <c r="D2106" s="9">
        <v>45395</v>
      </c>
      <c r="E2106" s="13" t="str">
        <f>+HYPERLINK("http://trademark.i-assist.jp/data/china/image_1883th/76454876.pdf","76454876")</f>
        <v>76454876</v>
      </c>
      <c r="F2106" s="7" t="s">
        <v>5774</v>
      </c>
      <c r="G2106" s="7" t="s">
        <v>5775</v>
      </c>
      <c r="H2106" s="7" t="s">
        <v>5776</v>
      </c>
      <c r="I2106" s="9">
        <v>45308</v>
      </c>
    </row>
    <row r="2107" spans="1:9" x14ac:dyDescent="0.15">
      <c r="A2107" s="6">
        <v>2106</v>
      </c>
      <c r="B2107" s="7" t="s">
        <v>9</v>
      </c>
      <c r="C2107" s="8">
        <v>1883</v>
      </c>
      <c r="D2107" s="9">
        <v>45395</v>
      </c>
      <c r="E2107" s="13" t="str">
        <f>+HYPERLINK("http://trademark.i-assist.jp/data/china/image_1883th/76454963.pdf","76454963")</f>
        <v>76454963</v>
      </c>
      <c r="F2107" s="7" t="s">
        <v>5777</v>
      </c>
      <c r="G2107" s="7" t="s">
        <v>5727</v>
      </c>
      <c r="H2107" s="7" t="s">
        <v>5778</v>
      </c>
      <c r="I2107" s="9">
        <v>45308</v>
      </c>
    </row>
    <row r="2108" spans="1:9" x14ac:dyDescent="0.15">
      <c r="A2108" s="6">
        <v>2107</v>
      </c>
      <c r="B2108" s="7" t="s">
        <v>9</v>
      </c>
      <c r="C2108" s="8">
        <v>1883</v>
      </c>
      <c r="D2108" s="9">
        <v>45395</v>
      </c>
      <c r="E2108" s="13" t="str">
        <f>+HYPERLINK("http://trademark.i-assist.jp/data/china/image_1883th/76455072.pdf","76455072")</f>
        <v>76455072</v>
      </c>
      <c r="F2108" s="7" t="s">
        <v>5779</v>
      </c>
      <c r="G2108" s="7" t="s">
        <v>5367</v>
      </c>
      <c r="H2108" s="7" t="s">
        <v>5780</v>
      </c>
      <c r="I2108" s="9">
        <v>45308</v>
      </c>
    </row>
    <row r="2109" spans="1:9" x14ac:dyDescent="0.15">
      <c r="A2109" s="6">
        <v>2108</v>
      </c>
      <c r="B2109" s="7" t="s">
        <v>9</v>
      </c>
      <c r="C2109" s="8">
        <v>1883</v>
      </c>
      <c r="D2109" s="9">
        <v>45395</v>
      </c>
      <c r="E2109" s="13" t="str">
        <f>+HYPERLINK("http://trademark.i-assist.jp/data/china/image_1883th/76455141.pdf","76455141")</f>
        <v>76455141</v>
      </c>
      <c r="F2109" s="7" t="s">
        <v>5781</v>
      </c>
      <c r="G2109" s="7" t="s">
        <v>5782</v>
      </c>
      <c r="H2109" s="7" t="s">
        <v>5783</v>
      </c>
      <c r="I2109" s="9">
        <v>45308</v>
      </c>
    </row>
    <row r="2110" spans="1:9" x14ac:dyDescent="0.15">
      <c r="A2110" s="6">
        <v>2109</v>
      </c>
      <c r="B2110" s="7" t="s">
        <v>9</v>
      </c>
      <c r="C2110" s="8">
        <v>1883</v>
      </c>
      <c r="D2110" s="9">
        <v>45395</v>
      </c>
      <c r="E2110" s="13" t="str">
        <f>+HYPERLINK("http://trademark.i-assist.jp/data/china/image_1883th/76455148.pdf","76455148")</f>
        <v>76455148</v>
      </c>
      <c r="F2110" s="7" t="s">
        <v>5784</v>
      </c>
      <c r="G2110" s="7" t="s">
        <v>5785</v>
      </c>
      <c r="H2110" s="7" t="s">
        <v>5786</v>
      </c>
      <c r="I2110" s="9">
        <v>45308</v>
      </c>
    </row>
    <row r="2111" spans="1:9" ht="27" x14ac:dyDescent="0.15">
      <c r="A2111" s="6">
        <v>2110</v>
      </c>
      <c r="B2111" s="7" t="s">
        <v>9</v>
      </c>
      <c r="C2111" s="8">
        <v>1883</v>
      </c>
      <c r="D2111" s="9">
        <v>45395</v>
      </c>
      <c r="E2111" s="13" t="str">
        <f>+HYPERLINK("http://trademark.i-assist.jp/data/china/image_1883th/76455181.pdf","76455181")</f>
        <v>76455181</v>
      </c>
      <c r="F2111" s="7" t="s">
        <v>5787</v>
      </c>
      <c r="G2111" s="7" t="s">
        <v>5788</v>
      </c>
      <c r="H2111" s="7" t="s">
        <v>5789</v>
      </c>
      <c r="I2111" s="9">
        <v>45308</v>
      </c>
    </row>
    <row r="2112" spans="1:9" x14ac:dyDescent="0.15">
      <c r="A2112" s="6">
        <v>2111</v>
      </c>
      <c r="B2112" s="7" t="s">
        <v>9</v>
      </c>
      <c r="C2112" s="8">
        <v>1883</v>
      </c>
      <c r="D2112" s="9">
        <v>45395</v>
      </c>
      <c r="E2112" s="13" t="str">
        <f>+HYPERLINK("http://trademark.i-assist.jp/data/china/image_1883th/76455317.pdf","76455317")</f>
        <v>76455317</v>
      </c>
      <c r="F2112" s="7" t="s">
        <v>5790</v>
      </c>
      <c r="G2112" s="7" t="s">
        <v>5791</v>
      </c>
      <c r="H2112" s="7" t="s">
        <v>5792</v>
      </c>
      <c r="I2112" s="9">
        <v>45308</v>
      </c>
    </row>
    <row r="2113" spans="1:9" x14ac:dyDescent="0.15">
      <c r="A2113" s="6">
        <v>2112</v>
      </c>
      <c r="B2113" s="7" t="s">
        <v>9</v>
      </c>
      <c r="C2113" s="8">
        <v>1883</v>
      </c>
      <c r="D2113" s="9">
        <v>45395</v>
      </c>
      <c r="E2113" s="13" t="str">
        <f>+HYPERLINK("http://trademark.i-assist.jp/data/china/image_1883th/76455344.pdf","76455344")</f>
        <v>76455344</v>
      </c>
      <c r="F2113" s="7" t="s">
        <v>5793</v>
      </c>
      <c r="G2113" s="7" t="s">
        <v>5794</v>
      </c>
      <c r="H2113" s="7" t="s">
        <v>5795</v>
      </c>
      <c r="I2113" s="9">
        <v>45308</v>
      </c>
    </row>
    <row r="2114" spans="1:9" x14ac:dyDescent="0.15">
      <c r="A2114" s="6">
        <v>2113</v>
      </c>
      <c r="B2114" s="7" t="s">
        <v>9</v>
      </c>
      <c r="C2114" s="8">
        <v>1883</v>
      </c>
      <c r="D2114" s="9">
        <v>45395</v>
      </c>
      <c r="E2114" s="13" t="str">
        <f>+HYPERLINK("http://trademark.i-assist.jp/data/china/image_1883th/76455440.pdf","76455440")</f>
        <v>76455440</v>
      </c>
      <c r="F2114" s="7" t="s">
        <v>5796</v>
      </c>
      <c r="G2114" s="7" t="s">
        <v>5797</v>
      </c>
      <c r="H2114" s="7" t="s">
        <v>5798</v>
      </c>
      <c r="I2114" s="9">
        <v>45308</v>
      </c>
    </row>
    <row r="2115" spans="1:9" x14ac:dyDescent="0.15">
      <c r="A2115" s="6">
        <v>2114</v>
      </c>
      <c r="B2115" s="7" t="s">
        <v>9</v>
      </c>
      <c r="C2115" s="8">
        <v>1883</v>
      </c>
      <c r="D2115" s="9">
        <v>45395</v>
      </c>
      <c r="E2115" s="13" t="str">
        <f>+HYPERLINK("http://trademark.i-assist.jp/data/china/image_1883th/76455564.pdf","76455564")</f>
        <v>76455564</v>
      </c>
      <c r="F2115" s="7" t="s">
        <v>5799</v>
      </c>
      <c r="G2115" s="7" t="s">
        <v>5626</v>
      </c>
      <c r="H2115" s="7" t="s">
        <v>5800</v>
      </c>
      <c r="I2115" s="9">
        <v>45308</v>
      </c>
    </row>
    <row r="2116" spans="1:9" x14ac:dyDescent="0.15">
      <c r="A2116" s="6">
        <v>2115</v>
      </c>
      <c r="B2116" s="7" t="s">
        <v>9</v>
      </c>
      <c r="C2116" s="8">
        <v>1883</v>
      </c>
      <c r="D2116" s="9">
        <v>45395</v>
      </c>
      <c r="E2116" s="13" t="str">
        <f>+HYPERLINK("http://trademark.i-assist.jp/data/china/image_1883th/76455674.pdf","76455674")</f>
        <v>76455674</v>
      </c>
      <c r="F2116" s="7" t="s">
        <v>5801</v>
      </c>
      <c r="G2116" s="7" t="s">
        <v>5802</v>
      </c>
      <c r="H2116" s="7" t="s">
        <v>5803</v>
      </c>
      <c r="I2116" s="9">
        <v>45308</v>
      </c>
    </row>
    <row r="2117" spans="1:9" x14ac:dyDescent="0.15">
      <c r="A2117" s="6">
        <v>2116</v>
      </c>
      <c r="B2117" s="7" t="s">
        <v>9</v>
      </c>
      <c r="C2117" s="8">
        <v>1883</v>
      </c>
      <c r="D2117" s="9">
        <v>45395</v>
      </c>
      <c r="E2117" s="13" t="str">
        <f>+HYPERLINK("http://trademark.i-assist.jp/data/china/image_1883th/76455771.pdf","76455771")</f>
        <v>76455771</v>
      </c>
      <c r="F2117" s="7" t="s">
        <v>5804</v>
      </c>
      <c r="G2117" s="7" t="s">
        <v>5805</v>
      </c>
      <c r="H2117" s="7" t="s">
        <v>5806</v>
      </c>
      <c r="I2117" s="9">
        <v>45308</v>
      </c>
    </row>
    <row r="2118" spans="1:9" x14ac:dyDescent="0.15">
      <c r="A2118" s="6">
        <v>2117</v>
      </c>
      <c r="B2118" s="7" t="s">
        <v>9</v>
      </c>
      <c r="C2118" s="8">
        <v>1883</v>
      </c>
      <c r="D2118" s="9">
        <v>45395</v>
      </c>
      <c r="E2118" s="13" t="str">
        <f>+HYPERLINK("http://trademark.i-assist.jp/data/china/image_1883th/76455995.pdf","76455995")</f>
        <v>76455995</v>
      </c>
      <c r="F2118" s="7" t="s">
        <v>5807</v>
      </c>
      <c r="G2118" s="7" t="s">
        <v>5808</v>
      </c>
      <c r="H2118" s="7" t="s">
        <v>5809</v>
      </c>
      <c r="I2118" s="9">
        <v>45308</v>
      </c>
    </row>
    <row r="2119" spans="1:9" x14ac:dyDescent="0.15">
      <c r="A2119" s="6">
        <v>2118</v>
      </c>
      <c r="B2119" s="7" t="s">
        <v>9</v>
      </c>
      <c r="C2119" s="8">
        <v>1883</v>
      </c>
      <c r="D2119" s="9">
        <v>45395</v>
      </c>
      <c r="E2119" s="13" t="str">
        <f>+HYPERLINK("http://trademark.i-assist.jp/data/china/image_1883th/76456176.pdf","76456176")</f>
        <v>76456176</v>
      </c>
      <c r="F2119" s="7" t="s">
        <v>5810</v>
      </c>
      <c r="G2119" s="7" t="s">
        <v>5712</v>
      </c>
      <c r="H2119" s="7" t="s">
        <v>5811</v>
      </c>
      <c r="I2119" s="9">
        <v>45308</v>
      </c>
    </row>
    <row r="2120" spans="1:9" x14ac:dyDescent="0.15">
      <c r="A2120" s="6">
        <v>2119</v>
      </c>
      <c r="B2120" s="7" t="s">
        <v>9</v>
      </c>
      <c r="C2120" s="8">
        <v>1883</v>
      </c>
      <c r="D2120" s="9">
        <v>45395</v>
      </c>
      <c r="E2120" s="13" t="str">
        <f>+HYPERLINK("http://trademark.i-assist.jp/data/china/image_1883th/76456405.pdf","76456405")</f>
        <v>76456405</v>
      </c>
      <c r="F2120" s="7" t="s">
        <v>5812</v>
      </c>
      <c r="G2120" s="7" t="s">
        <v>5507</v>
      </c>
      <c r="H2120" s="7" t="s">
        <v>5813</v>
      </c>
      <c r="I2120" s="9">
        <v>45308</v>
      </c>
    </row>
    <row r="2121" spans="1:9" x14ac:dyDescent="0.15">
      <c r="A2121" s="6">
        <v>2120</v>
      </c>
      <c r="B2121" s="7" t="s">
        <v>9</v>
      </c>
      <c r="C2121" s="8">
        <v>1883</v>
      </c>
      <c r="D2121" s="9">
        <v>45395</v>
      </c>
      <c r="E2121" s="13" t="str">
        <f>+HYPERLINK("http://trademark.i-assist.jp/data/china/image_1883th/76456411.pdf","76456411")</f>
        <v>76456411</v>
      </c>
      <c r="F2121" s="7" t="s">
        <v>5814</v>
      </c>
      <c r="G2121" s="7" t="s">
        <v>5815</v>
      </c>
      <c r="H2121" s="7" t="s">
        <v>5816</v>
      </c>
      <c r="I2121" s="9">
        <v>45308</v>
      </c>
    </row>
    <row r="2122" spans="1:9" x14ac:dyDescent="0.15">
      <c r="A2122" s="6">
        <v>2121</v>
      </c>
      <c r="B2122" s="7" t="s">
        <v>9</v>
      </c>
      <c r="C2122" s="8">
        <v>1883</v>
      </c>
      <c r="D2122" s="9">
        <v>45395</v>
      </c>
      <c r="E2122" s="13" t="str">
        <f>+HYPERLINK("http://trademark.i-assist.jp/data/china/image_1883th/76456497.pdf","76456497")</f>
        <v>76456497</v>
      </c>
      <c r="F2122" s="7" t="s">
        <v>5817</v>
      </c>
      <c r="G2122" s="7" t="s">
        <v>5466</v>
      </c>
      <c r="H2122" s="7" t="s">
        <v>5818</v>
      </c>
      <c r="I2122" s="9">
        <v>45308</v>
      </c>
    </row>
    <row r="2123" spans="1:9" x14ac:dyDescent="0.15">
      <c r="A2123" s="6">
        <v>2122</v>
      </c>
      <c r="B2123" s="7" t="s">
        <v>9</v>
      </c>
      <c r="C2123" s="8">
        <v>1883</v>
      </c>
      <c r="D2123" s="9">
        <v>45395</v>
      </c>
      <c r="E2123" s="13" t="str">
        <f>+HYPERLINK("http://trademark.i-assist.jp/data/china/image_1883th/76456616.pdf","76456616")</f>
        <v>76456616</v>
      </c>
      <c r="F2123" s="7" t="s">
        <v>5819</v>
      </c>
      <c r="G2123" s="7" t="s">
        <v>5820</v>
      </c>
      <c r="H2123" s="7" t="s">
        <v>5821</v>
      </c>
      <c r="I2123" s="9">
        <v>45308</v>
      </c>
    </row>
    <row r="2124" spans="1:9" x14ac:dyDescent="0.15">
      <c r="A2124" s="6">
        <v>2123</v>
      </c>
      <c r="B2124" s="7" t="s">
        <v>9</v>
      </c>
      <c r="C2124" s="8">
        <v>1883</v>
      </c>
      <c r="D2124" s="9">
        <v>45395</v>
      </c>
      <c r="E2124" s="13" t="str">
        <f>+HYPERLINK("http://trademark.i-assist.jp/data/china/image_1883th/76456706.pdf","76456706")</f>
        <v>76456706</v>
      </c>
      <c r="F2124" s="7" t="s">
        <v>5822</v>
      </c>
      <c r="G2124" s="7" t="s">
        <v>5823</v>
      </c>
      <c r="H2124" s="7" t="s">
        <v>5824</v>
      </c>
      <c r="I2124" s="9">
        <v>45308</v>
      </c>
    </row>
    <row r="2125" spans="1:9" x14ac:dyDescent="0.15">
      <c r="A2125" s="6">
        <v>2124</v>
      </c>
      <c r="B2125" s="7" t="s">
        <v>9</v>
      </c>
      <c r="C2125" s="8">
        <v>1883</v>
      </c>
      <c r="D2125" s="9">
        <v>45395</v>
      </c>
      <c r="E2125" s="13" t="str">
        <f>+HYPERLINK("http://trademark.i-assist.jp/data/china/image_1883th/76456910.pdf","76456910")</f>
        <v>76456910</v>
      </c>
      <c r="F2125" s="7" t="s">
        <v>57</v>
      </c>
      <c r="G2125" s="7" t="s">
        <v>4166</v>
      </c>
      <c r="H2125" s="7" t="s">
        <v>5825</v>
      </c>
      <c r="I2125" s="9">
        <v>45308</v>
      </c>
    </row>
    <row r="2126" spans="1:9" x14ac:dyDescent="0.15">
      <c r="A2126" s="6">
        <v>2125</v>
      </c>
      <c r="B2126" s="7" t="s">
        <v>9</v>
      </c>
      <c r="C2126" s="8">
        <v>1883</v>
      </c>
      <c r="D2126" s="9">
        <v>45395</v>
      </c>
      <c r="E2126" s="13" t="str">
        <f>+HYPERLINK("http://trademark.i-assist.jp/data/china/image_1883th/76457143.pdf","76457143")</f>
        <v>76457143</v>
      </c>
      <c r="F2126" s="7" t="s">
        <v>5826</v>
      </c>
      <c r="G2126" s="7" t="s">
        <v>5827</v>
      </c>
      <c r="H2126" s="7" t="s">
        <v>5828</v>
      </c>
      <c r="I2126" s="9">
        <v>45308</v>
      </c>
    </row>
    <row r="2127" spans="1:9" x14ac:dyDescent="0.15">
      <c r="A2127" s="6">
        <v>2126</v>
      </c>
      <c r="B2127" s="7" t="s">
        <v>9</v>
      </c>
      <c r="C2127" s="8">
        <v>1883</v>
      </c>
      <c r="D2127" s="9">
        <v>45395</v>
      </c>
      <c r="E2127" s="13" t="str">
        <f>+HYPERLINK("http://trademark.i-assist.jp/data/china/image_1883th/76457147.pdf","76457147")</f>
        <v>76457147</v>
      </c>
      <c r="F2127" s="7" t="s">
        <v>5829</v>
      </c>
      <c r="G2127" s="7" t="s">
        <v>5618</v>
      </c>
      <c r="H2127" s="7" t="s">
        <v>5830</v>
      </c>
      <c r="I2127" s="9">
        <v>45308</v>
      </c>
    </row>
    <row r="2128" spans="1:9" x14ac:dyDescent="0.15">
      <c r="A2128" s="6">
        <v>2127</v>
      </c>
      <c r="B2128" s="7" t="s">
        <v>9</v>
      </c>
      <c r="C2128" s="8">
        <v>1883</v>
      </c>
      <c r="D2128" s="9">
        <v>45395</v>
      </c>
      <c r="E2128" s="13" t="str">
        <f>+HYPERLINK("http://trademark.i-assist.jp/data/china/image_1883th/76457286.pdf","76457286")</f>
        <v>76457286</v>
      </c>
      <c r="F2128" s="7" t="s">
        <v>5831</v>
      </c>
      <c r="G2128" s="7" t="s">
        <v>5832</v>
      </c>
      <c r="H2128" s="7" t="s">
        <v>5833</v>
      </c>
      <c r="I2128" s="9">
        <v>45308</v>
      </c>
    </row>
    <row r="2129" spans="1:9" x14ac:dyDescent="0.15">
      <c r="A2129" s="6">
        <v>2128</v>
      </c>
      <c r="B2129" s="7" t="s">
        <v>9</v>
      </c>
      <c r="C2129" s="8">
        <v>1883</v>
      </c>
      <c r="D2129" s="9">
        <v>45395</v>
      </c>
      <c r="E2129" s="13" t="str">
        <f>+HYPERLINK("http://trademark.i-assist.jp/data/china/image_1883th/76457398.pdf","76457398")</f>
        <v>76457398</v>
      </c>
      <c r="F2129" s="7" t="s">
        <v>5834</v>
      </c>
      <c r="G2129" s="7" t="s">
        <v>5660</v>
      </c>
      <c r="H2129" s="7" t="s">
        <v>5835</v>
      </c>
      <c r="I2129" s="9">
        <v>45308</v>
      </c>
    </row>
    <row r="2130" spans="1:9" ht="27" x14ac:dyDescent="0.15">
      <c r="A2130" s="6">
        <v>2129</v>
      </c>
      <c r="B2130" s="7" t="s">
        <v>9</v>
      </c>
      <c r="C2130" s="8">
        <v>1883</v>
      </c>
      <c r="D2130" s="9">
        <v>45395</v>
      </c>
      <c r="E2130" s="13" t="str">
        <f>+HYPERLINK("http://trademark.i-assist.jp/data/china/image_1883th/76457424.pdf","76457424")</f>
        <v>76457424</v>
      </c>
      <c r="F2130" s="7" t="s">
        <v>5836</v>
      </c>
      <c r="G2130" s="7" t="s">
        <v>1469</v>
      </c>
      <c r="H2130" s="7" t="s">
        <v>5837</v>
      </c>
      <c r="I2130" s="9">
        <v>45308</v>
      </c>
    </row>
    <row r="2131" spans="1:9" x14ac:dyDescent="0.15">
      <c r="A2131" s="6">
        <v>2130</v>
      </c>
      <c r="B2131" s="7" t="s">
        <v>9</v>
      </c>
      <c r="C2131" s="8">
        <v>1883</v>
      </c>
      <c r="D2131" s="9">
        <v>45395</v>
      </c>
      <c r="E2131" s="13" t="str">
        <f>+HYPERLINK("http://trademark.i-assist.jp/data/china/image_1883th/76457426.pdf","76457426")</f>
        <v>76457426</v>
      </c>
      <c r="F2131" s="7" t="s">
        <v>5838</v>
      </c>
      <c r="G2131" s="7" t="s">
        <v>5839</v>
      </c>
      <c r="H2131" s="7" t="s">
        <v>5840</v>
      </c>
      <c r="I2131" s="9">
        <v>45308</v>
      </c>
    </row>
    <row r="2132" spans="1:9" x14ac:dyDescent="0.15">
      <c r="A2132" s="6">
        <v>2131</v>
      </c>
      <c r="B2132" s="7" t="s">
        <v>9</v>
      </c>
      <c r="C2132" s="8">
        <v>1883</v>
      </c>
      <c r="D2132" s="9">
        <v>45395</v>
      </c>
      <c r="E2132" s="13" t="str">
        <f>+HYPERLINK("http://trademark.i-assist.jp/data/china/image_1883th/76457521.pdf","76457521")</f>
        <v>76457521</v>
      </c>
      <c r="F2132" s="7" t="s">
        <v>5841</v>
      </c>
      <c r="G2132" s="7" t="s">
        <v>5842</v>
      </c>
      <c r="H2132" s="7" t="s">
        <v>5843</v>
      </c>
      <c r="I2132" s="9">
        <v>45308</v>
      </c>
    </row>
    <row r="2133" spans="1:9" x14ac:dyDescent="0.15">
      <c r="A2133" s="6">
        <v>2132</v>
      </c>
      <c r="B2133" s="7" t="s">
        <v>9</v>
      </c>
      <c r="C2133" s="8">
        <v>1883</v>
      </c>
      <c r="D2133" s="9">
        <v>45395</v>
      </c>
      <c r="E2133" s="13" t="str">
        <f>+HYPERLINK("http://trademark.i-assist.jp/data/china/image_1883th/76457575.pdf","76457575")</f>
        <v>76457575</v>
      </c>
      <c r="F2133" s="7" t="s">
        <v>5844</v>
      </c>
      <c r="G2133" s="7" t="s">
        <v>5845</v>
      </c>
      <c r="H2133" s="7" t="s">
        <v>5846</v>
      </c>
      <c r="I2133" s="9">
        <v>45308</v>
      </c>
    </row>
    <row r="2134" spans="1:9" x14ac:dyDescent="0.15">
      <c r="A2134" s="6">
        <v>2133</v>
      </c>
      <c r="B2134" s="7" t="s">
        <v>9</v>
      </c>
      <c r="C2134" s="8">
        <v>1883</v>
      </c>
      <c r="D2134" s="9">
        <v>45395</v>
      </c>
      <c r="E2134" s="13" t="str">
        <f>+HYPERLINK("http://trademark.i-assist.jp/data/china/image_1883th/76457653.pdf","76457653")</f>
        <v>76457653</v>
      </c>
      <c r="F2134" s="7" t="s">
        <v>5847</v>
      </c>
      <c r="G2134" s="7" t="s">
        <v>5295</v>
      </c>
      <c r="H2134" s="7" t="s">
        <v>5848</v>
      </c>
      <c r="I2134" s="9">
        <v>45308</v>
      </c>
    </row>
    <row r="2135" spans="1:9" x14ac:dyDescent="0.15">
      <c r="A2135" s="6">
        <v>2134</v>
      </c>
      <c r="B2135" s="7" t="s">
        <v>9</v>
      </c>
      <c r="C2135" s="8">
        <v>1883</v>
      </c>
      <c r="D2135" s="9">
        <v>45395</v>
      </c>
      <c r="E2135" s="13" t="str">
        <f>+HYPERLINK("http://trademark.i-assist.jp/data/china/image_1883th/76457683.pdf","76457683")</f>
        <v>76457683</v>
      </c>
      <c r="F2135" s="7" t="s">
        <v>5849</v>
      </c>
      <c r="G2135" s="7" t="s">
        <v>5850</v>
      </c>
      <c r="H2135" s="7" t="s">
        <v>5851</v>
      </c>
      <c r="I2135" s="9">
        <v>45308</v>
      </c>
    </row>
    <row r="2136" spans="1:9" x14ac:dyDescent="0.15">
      <c r="A2136" s="6">
        <v>2135</v>
      </c>
      <c r="B2136" s="7" t="s">
        <v>9</v>
      </c>
      <c r="C2136" s="8">
        <v>1883</v>
      </c>
      <c r="D2136" s="9">
        <v>45395</v>
      </c>
      <c r="E2136" s="13" t="str">
        <f>+HYPERLINK("http://trademark.i-assist.jp/data/china/image_1883th/76457843.pdf","76457843")</f>
        <v>76457843</v>
      </c>
      <c r="F2136" s="7" t="s">
        <v>5852</v>
      </c>
      <c r="G2136" s="7" t="s">
        <v>5853</v>
      </c>
      <c r="H2136" s="7" t="s">
        <v>5854</v>
      </c>
      <c r="I2136" s="9">
        <v>45308</v>
      </c>
    </row>
    <row r="2137" spans="1:9" x14ac:dyDescent="0.15">
      <c r="A2137" s="6">
        <v>2136</v>
      </c>
      <c r="B2137" s="7" t="s">
        <v>9</v>
      </c>
      <c r="C2137" s="8">
        <v>1883</v>
      </c>
      <c r="D2137" s="9">
        <v>45395</v>
      </c>
      <c r="E2137" s="13" t="str">
        <f>+HYPERLINK("http://trademark.i-assist.jp/data/china/image_1883th/76457963.pdf","76457963")</f>
        <v>76457963</v>
      </c>
      <c r="F2137" s="7" t="s">
        <v>5855</v>
      </c>
      <c r="G2137" s="7" t="s">
        <v>5856</v>
      </c>
      <c r="H2137" s="7" t="s">
        <v>5857</v>
      </c>
      <c r="I2137" s="9">
        <v>45308</v>
      </c>
    </row>
    <row r="2138" spans="1:9" x14ac:dyDescent="0.15">
      <c r="A2138" s="6">
        <v>2137</v>
      </c>
      <c r="B2138" s="7" t="s">
        <v>9</v>
      </c>
      <c r="C2138" s="8">
        <v>1883</v>
      </c>
      <c r="D2138" s="9">
        <v>45395</v>
      </c>
      <c r="E2138" s="13" t="str">
        <f>+HYPERLINK("http://trademark.i-assist.jp/data/china/image_1883th/76458134.pdf","76458134")</f>
        <v>76458134</v>
      </c>
      <c r="F2138" s="7" t="s">
        <v>57</v>
      </c>
      <c r="G2138" s="7" t="s">
        <v>5369</v>
      </c>
      <c r="H2138" s="7" t="s">
        <v>5858</v>
      </c>
      <c r="I2138" s="9">
        <v>45308</v>
      </c>
    </row>
    <row r="2139" spans="1:9" x14ac:dyDescent="0.15">
      <c r="A2139" s="6">
        <v>2138</v>
      </c>
      <c r="B2139" s="7" t="s">
        <v>9</v>
      </c>
      <c r="C2139" s="8">
        <v>1883</v>
      </c>
      <c r="D2139" s="9">
        <v>45395</v>
      </c>
      <c r="E2139" s="13" t="str">
        <f>+HYPERLINK("http://trademark.i-assist.jp/data/china/image_1883th/76458291.pdf","76458291")</f>
        <v>76458291</v>
      </c>
      <c r="F2139" s="7" t="s">
        <v>5859</v>
      </c>
      <c r="G2139" s="7" t="s">
        <v>5028</v>
      </c>
      <c r="H2139" s="7" t="s">
        <v>5860</v>
      </c>
      <c r="I2139" s="9">
        <v>45308</v>
      </c>
    </row>
    <row r="2140" spans="1:9" x14ac:dyDescent="0.15">
      <c r="A2140" s="6">
        <v>2139</v>
      </c>
      <c r="B2140" s="7" t="s">
        <v>9</v>
      </c>
      <c r="C2140" s="8">
        <v>1883</v>
      </c>
      <c r="D2140" s="9">
        <v>45395</v>
      </c>
      <c r="E2140" s="13" t="str">
        <f>+HYPERLINK("http://trademark.i-assist.jp/data/china/image_1883th/76458364.pdf","76458364")</f>
        <v>76458364</v>
      </c>
      <c r="F2140" s="7" t="s">
        <v>5861</v>
      </c>
      <c r="G2140" s="7" t="s">
        <v>5862</v>
      </c>
      <c r="H2140" s="7" t="s">
        <v>5863</v>
      </c>
      <c r="I2140" s="9">
        <v>45308</v>
      </c>
    </row>
    <row r="2141" spans="1:9" x14ac:dyDescent="0.15">
      <c r="A2141" s="6">
        <v>2140</v>
      </c>
      <c r="B2141" s="7" t="s">
        <v>9</v>
      </c>
      <c r="C2141" s="8">
        <v>1883</v>
      </c>
      <c r="D2141" s="9">
        <v>45395</v>
      </c>
      <c r="E2141" s="13" t="str">
        <f>+HYPERLINK("http://trademark.i-assist.jp/data/china/image_1883th/76458535.pdf","76458535")</f>
        <v>76458535</v>
      </c>
      <c r="F2141" s="7" t="s">
        <v>5864</v>
      </c>
      <c r="G2141" s="7" t="s">
        <v>5865</v>
      </c>
      <c r="H2141" s="7" t="s">
        <v>5866</v>
      </c>
      <c r="I2141" s="9">
        <v>45308</v>
      </c>
    </row>
    <row r="2142" spans="1:9" x14ac:dyDescent="0.15">
      <c r="A2142" s="6">
        <v>2141</v>
      </c>
      <c r="B2142" s="7" t="s">
        <v>9</v>
      </c>
      <c r="C2142" s="8">
        <v>1883</v>
      </c>
      <c r="D2142" s="9">
        <v>45395</v>
      </c>
      <c r="E2142" s="13" t="str">
        <f>+HYPERLINK("http://trademark.i-assist.jp/data/china/image_1883th/76458570.pdf","76458570")</f>
        <v>76458570</v>
      </c>
      <c r="F2142" s="7" t="s">
        <v>5867</v>
      </c>
      <c r="G2142" s="7" t="s">
        <v>5868</v>
      </c>
      <c r="H2142" s="7" t="s">
        <v>1178</v>
      </c>
      <c r="I2142" s="9">
        <v>45308</v>
      </c>
    </row>
    <row r="2143" spans="1:9" x14ac:dyDescent="0.15">
      <c r="A2143" s="6">
        <v>2142</v>
      </c>
      <c r="B2143" s="7" t="s">
        <v>9</v>
      </c>
      <c r="C2143" s="8">
        <v>1883</v>
      </c>
      <c r="D2143" s="9">
        <v>45395</v>
      </c>
      <c r="E2143" s="13" t="str">
        <f>+HYPERLINK("http://trademark.i-assist.jp/data/china/image_1883th/76458625.pdf","76458625")</f>
        <v>76458625</v>
      </c>
      <c r="F2143" s="7" t="s">
        <v>5869</v>
      </c>
      <c r="G2143" s="7" t="s">
        <v>5870</v>
      </c>
      <c r="H2143" s="7" t="s">
        <v>5871</v>
      </c>
      <c r="I2143" s="9">
        <v>45308</v>
      </c>
    </row>
    <row r="2144" spans="1:9" x14ac:dyDescent="0.15">
      <c r="A2144" s="6">
        <v>2143</v>
      </c>
      <c r="B2144" s="7" t="s">
        <v>9</v>
      </c>
      <c r="C2144" s="8">
        <v>1883</v>
      </c>
      <c r="D2144" s="9">
        <v>45395</v>
      </c>
      <c r="E2144" s="13" t="str">
        <f>+HYPERLINK("http://trademark.i-assist.jp/data/china/image_1883th/76458626.pdf","76458626")</f>
        <v>76458626</v>
      </c>
      <c r="F2144" s="7" t="s">
        <v>5872</v>
      </c>
      <c r="G2144" s="7" t="s">
        <v>5873</v>
      </c>
      <c r="H2144" s="7" t="s">
        <v>5874</v>
      </c>
      <c r="I2144" s="9">
        <v>45308</v>
      </c>
    </row>
    <row r="2145" spans="1:9" x14ac:dyDescent="0.15">
      <c r="A2145" s="6">
        <v>2144</v>
      </c>
      <c r="B2145" s="7" t="s">
        <v>9</v>
      </c>
      <c r="C2145" s="8">
        <v>1883</v>
      </c>
      <c r="D2145" s="9">
        <v>45395</v>
      </c>
      <c r="E2145" s="13" t="str">
        <f>+HYPERLINK("http://trademark.i-assist.jp/data/china/image_1883th/76458730.pdf","76458730")</f>
        <v>76458730</v>
      </c>
      <c r="F2145" s="7" t="s">
        <v>5875</v>
      </c>
      <c r="G2145" s="7" t="s">
        <v>5876</v>
      </c>
      <c r="H2145" s="7" t="s">
        <v>5877</v>
      </c>
      <c r="I2145" s="9">
        <v>45308</v>
      </c>
    </row>
    <row r="2146" spans="1:9" ht="27" x14ac:dyDescent="0.15">
      <c r="A2146" s="6">
        <v>2145</v>
      </c>
      <c r="B2146" s="7" t="s">
        <v>9</v>
      </c>
      <c r="C2146" s="8">
        <v>1883</v>
      </c>
      <c r="D2146" s="9">
        <v>45395</v>
      </c>
      <c r="E2146" s="13" t="str">
        <f>+HYPERLINK("http://trademark.i-assist.jp/data/china/image_1883th/76458974.pdf","76458974")</f>
        <v>76458974</v>
      </c>
      <c r="F2146" s="7" t="s">
        <v>5878</v>
      </c>
      <c r="G2146" s="7" t="s">
        <v>5879</v>
      </c>
      <c r="H2146" s="7" t="s">
        <v>5880</v>
      </c>
      <c r="I2146" s="9">
        <v>45308</v>
      </c>
    </row>
    <row r="2147" spans="1:9" x14ac:dyDescent="0.15">
      <c r="A2147" s="6">
        <v>2146</v>
      </c>
      <c r="B2147" s="7" t="s">
        <v>9</v>
      </c>
      <c r="C2147" s="8">
        <v>1883</v>
      </c>
      <c r="D2147" s="9">
        <v>45395</v>
      </c>
      <c r="E2147" s="13" t="str">
        <f>+HYPERLINK("http://trademark.i-assist.jp/data/china/image_1883th/76459022.pdf","76459022")</f>
        <v>76459022</v>
      </c>
      <c r="F2147" s="7" t="s">
        <v>5881</v>
      </c>
      <c r="G2147" s="7" t="s">
        <v>5882</v>
      </c>
      <c r="H2147" s="7" t="s">
        <v>5883</v>
      </c>
      <c r="I2147" s="9">
        <v>45308</v>
      </c>
    </row>
    <row r="2148" spans="1:9" x14ac:dyDescent="0.15">
      <c r="A2148" s="6">
        <v>2147</v>
      </c>
      <c r="B2148" s="7" t="s">
        <v>9</v>
      </c>
      <c r="C2148" s="8">
        <v>1883</v>
      </c>
      <c r="D2148" s="9">
        <v>45395</v>
      </c>
      <c r="E2148" s="13" t="str">
        <f>+HYPERLINK("http://trademark.i-assist.jp/data/china/image_1883th/76459066.pdf","76459066")</f>
        <v>76459066</v>
      </c>
      <c r="F2148" s="7" t="s">
        <v>5884</v>
      </c>
      <c r="G2148" s="7" t="s">
        <v>5885</v>
      </c>
      <c r="H2148" s="7" t="s">
        <v>5886</v>
      </c>
      <c r="I2148" s="9">
        <v>45308</v>
      </c>
    </row>
    <row r="2149" spans="1:9" x14ac:dyDescent="0.15">
      <c r="A2149" s="6">
        <v>2148</v>
      </c>
      <c r="B2149" s="7" t="s">
        <v>9</v>
      </c>
      <c r="C2149" s="8">
        <v>1883</v>
      </c>
      <c r="D2149" s="9">
        <v>45395</v>
      </c>
      <c r="E2149" s="13" t="str">
        <f>+HYPERLINK("http://trademark.i-assist.jp/data/china/image_1883th/76459586.pdf","76459586")</f>
        <v>76459586</v>
      </c>
      <c r="F2149" s="7" t="s">
        <v>5887</v>
      </c>
      <c r="G2149" s="7" t="s">
        <v>5888</v>
      </c>
      <c r="H2149" s="7" t="s">
        <v>5889</v>
      </c>
      <c r="I2149" s="9">
        <v>45309</v>
      </c>
    </row>
    <row r="2150" spans="1:9" x14ac:dyDescent="0.15">
      <c r="A2150" s="6">
        <v>2149</v>
      </c>
      <c r="B2150" s="7" t="s">
        <v>9</v>
      </c>
      <c r="C2150" s="8">
        <v>1883</v>
      </c>
      <c r="D2150" s="9">
        <v>45395</v>
      </c>
      <c r="E2150" s="13" t="str">
        <f>+HYPERLINK("http://trademark.i-assist.jp/data/china/image_1883th/76459588.pdf","76459588")</f>
        <v>76459588</v>
      </c>
      <c r="F2150" s="7" t="s">
        <v>5890</v>
      </c>
      <c r="G2150" s="7" t="s">
        <v>5891</v>
      </c>
      <c r="H2150" s="7" t="s">
        <v>5892</v>
      </c>
      <c r="I2150" s="9">
        <v>45309</v>
      </c>
    </row>
    <row r="2151" spans="1:9" ht="27" x14ac:dyDescent="0.15">
      <c r="A2151" s="6">
        <v>2150</v>
      </c>
      <c r="B2151" s="7" t="s">
        <v>9</v>
      </c>
      <c r="C2151" s="8">
        <v>1883</v>
      </c>
      <c r="D2151" s="9">
        <v>45395</v>
      </c>
      <c r="E2151" s="13" t="str">
        <f>+HYPERLINK("http://trademark.i-assist.jp/data/china/image_1883th/76459729.pdf","76459729")</f>
        <v>76459729</v>
      </c>
      <c r="F2151" s="7" t="s">
        <v>5893</v>
      </c>
      <c r="G2151" s="7" t="s">
        <v>5894</v>
      </c>
      <c r="H2151" s="7" t="s">
        <v>5895</v>
      </c>
      <c r="I2151" s="9">
        <v>45309</v>
      </c>
    </row>
    <row r="2152" spans="1:9" ht="27" x14ac:dyDescent="0.15">
      <c r="A2152" s="6">
        <v>2151</v>
      </c>
      <c r="B2152" s="7" t="s">
        <v>9</v>
      </c>
      <c r="C2152" s="8">
        <v>1883</v>
      </c>
      <c r="D2152" s="9">
        <v>45395</v>
      </c>
      <c r="E2152" s="13" t="str">
        <f>+HYPERLINK("http://trademark.i-assist.jp/data/china/image_1883th/76459732.pdf","76459732")</f>
        <v>76459732</v>
      </c>
      <c r="F2152" s="7" t="s">
        <v>5896</v>
      </c>
      <c r="G2152" s="7" t="s">
        <v>5897</v>
      </c>
      <c r="H2152" s="7" t="s">
        <v>5898</v>
      </c>
      <c r="I2152" s="9">
        <v>45309</v>
      </c>
    </row>
    <row r="2153" spans="1:9" x14ac:dyDescent="0.15">
      <c r="A2153" s="6">
        <v>2152</v>
      </c>
      <c r="B2153" s="7" t="s">
        <v>9</v>
      </c>
      <c r="C2153" s="8">
        <v>1883</v>
      </c>
      <c r="D2153" s="9">
        <v>45395</v>
      </c>
      <c r="E2153" s="13" t="str">
        <f>+HYPERLINK("http://trademark.i-assist.jp/data/china/image_1883th/76459775.pdf","76459775")</f>
        <v>76459775</v>
      </c>
      <c r="F2153" s="7" t="s">
        <v>5899</v>
      </c>
      <c r="G2153" s="7" t="s">
        <v>5900</v>
      </c>
      <c r="H2153" s="7" t="s">
        <v>5901</v>
      </c>
      <c r="I2153" s="9">
        <v>45309</v>
      </c>
    </row>
    <row r="2154" spans="1:9" x14ac:dyDescent="0.15">
      <c r="A2154" s="6">
        <v>2153</v>
      </c>
      <c r="B2154" s="7" t="s">
        <v>9</v>
      </c>
      <c r="C2154" s="8">
        <v>1883</v>
      </c>
      <c r="D2154" s="9">
        <v>45395</v>
      </c>
      <c r="E2154" s="13" t="str">
        <f>+HYPERLINK("http://trademark.i-assist.jp/data/china/image_1883th/76459776.pdf","76459776")</f>
        <v>76459776</v>
      </c>
      <c r="F2154" s="7" t="s">
        <v>5902</v>
      </c>
      <c r="G2154" s="7" t="s">
        <v>5903</v>
      </c>
      <c r="H2154" s="7" t="s">
        <v>5904</v>
      </c>
      <c r="I2154" s="9">
        <v>45309</v>
      </c>
    </row>
    <row r="2155" spans="1:9" x14ac:dyDescent="0.15">
      <c r="A2155" s="6">
        <v>2154</v>
      </c>
      <c r="B2155" s="7" t="s">
        <v>9</v>
      </c>
      <c r="C2155" s="8">
        <v>1883</v>
      </c>
      <c r="D2155" s="9">
        <v>45395</v>
      </c>
      <c r="E2155" s="13" t="str">
        <f>+HYPERLINK("http://trademark.i-assist.jp/data/china/image_1883th/76459782.pdf","76459782")</f>
        <v>76459782</v>
      </c>
      <c r="F2155" s="7" t="s">
        <v>5905</v>
      </c>
      <c r="G2155" s="7" t="s">
        <v>5900</v>
      </c>
      <c r="H2155" s="7" t="s">
        <v>5906</v>
      </c>
      <c r="I2155" s="9">
        <v>45309</v>
      </c>
    </row>
    <row r="2156" spans="1:9" x14ac:dyDescent="0.15">
      <c r="A2156" s="6">
        <v>2155</v>
      </c>
      <c r="B2156" s="7" t="s">
        <v>9</v>
      </c>
      <c r="C2156" s="8">
        <v>1883</v>
      </c>
      <c r="D2156" s="9">
        <v>45395</v>
      </c>
      <c r="E2156" s="13" t="str">
        <f>+HYPERLINK("http://trademark.i-assist.jp/data/china/image_1883th/76459814.pdf","76459814")</f>
        <v>76459814</v>
      </c>
      <c r="F2156" s="7" t="s">
        <v>5907</v>
      </c>
      <c r="G2156" s="7" t="s">
        <v>5908</v>
      </c>
      <c r="H2156" s="7" t="s">
        <v>5909</v>
      </c>
      <c r="I2156" s="9">
        <v>45309</v>
      </c>
    </row>
    <row r="2157" spans="1:9" x14ac:dyDescent="0.15">
      <c r="A2157" s="6">
        <v>2156</v>
      </c>
      <c r="B2157" s="7" t="s">
        <v>9</v>
      </c>
      <c r="C2157" s="8">
        <v>1883</v>
      </c>
      <c r="D2157" s="9">
        <v>45395</v>
      </c>
      <c r="E2157" s="13" t="str">
        <f>+HYPERLINK("http://trademark.i-assist.jp/data/china/image_1883th/76459832.pdf","76459832")</f>
        <v>76459832</v>
      </c>
      <c r="F2157" s="7" t="s">
        <v>5910</v>
      </c>
      <c r="G2157" s="7" t="s">
        <v>5911</v>
      </c>
      <c r="H2157" s="7" t="s">
        <v>5912</v>
      </c>
      <c r="I2157" s="9">
        <v>45309</v>
      </c>
    </row>
    <row r="2158" spans="1:9" ht="27" x14ac:dyDescent="0.15">
      <c r="A2158" s="6">
        <v>2157</v>
      </c>
      <c r="B2158" s="7" t="s">
        <v>9</v>
      </c>
      <c r="C2158" s="8">
        <v>1883</v>
      </c>
      <c r="D2158" s="9">
        <v>45395</v>
      </c>
      <c r="E2158" s="13" t="str">
        <f>+HYPERLINK("http://trademark.i-assist.jp/data/china/image_1883th/76459904.pdf","76459904")</f>
        <v>76459904</v>
      </c>
      <c r="F2158" s="7" t="s">
        <v>5913</v>
      </c>
      <c r="G2158" s="7" t="s">
        <v>5914</v>
      </c>
      <c r="H2158" s="7" t="s">
        <v>5915</v>
      </c>
      <c r="I2158" s="9">
        <v>45309</v>
      </c>
    </row>
    <row r="2159" spans="1:9" x14ac:dyDescent="0.15">
      <c r="A2159" s="6">
        <v>2158</v>
      </c>
      <c r="B2159" s="7" t="s">
        <v>9</v>
      </c>
      <c r="C2159" s="8">
        <v>1883</v>
      </c>
      <c r="D2159" s="9">
        <v>45395</v>
      </c>
      <c r="E2159" s="13" t="str">
        <f>+HYPERLINK("http://trademark.i-assist.jp/data/china/image_1883th/76460069.pdf","76460069")</f>
        <v>76460069</v>
      </c>
      <c r="F2159" s="7" t="s">
        <v>5916</v>
      </c>
      <c r="G2159" s="7" t="s">
        <v>5917</v>
      </c>
      <c r="H2159" s="7" t="s">
        <v>5918</v>
      </c>
      <c r="I2159" s="9">
        <v>45309</v>
      </c>
    </row>
    <row r="2160" spans="1:9" x14ac:dyDescent="0.15">
      <c r="A2160" s="6">
        <v>2159</v>
      </c>
      <c r="B2160" s="7" t="s">
        <v>9</v>
      </c>
      <c r="C2160" s="8">
        <v>1883</v>
      </c>
      <c r="D2160" s="9">
        <v>45395</v>
      </c>
      <c r="E2160" s="13" t="str">
        <f>+HYPERLINK("http://trademark.i-assist.jp/data/china/image_1883th/76460235.pdf","76460235")</f>
        <v>76460235</v>
      </c>
      <c r="F2160" s="7" t="s">
        <v>5919</v>
      </c>
      <c r="G2160" s="7" t="s">
        <v>5920</v>
      </c>
      <c r="H2160" s="7" t="s">
        <v>5921</v>
      </c>
      <c r="I2160" s="9">
        <v>45309</v>
      </c>
    </row>
    <row r="2161" spans="1:9" ht="27" x14ac:dyDescent="0.15">
      <c r="A2161" s="6">
        <v>2160</v>
      </c>
      <c r="B2161" s="7" t="s">
        <v>9</v>
      </c>
      <c r="C2161" s="8">
        <v>1883</v>
      </c>
      <c r="D2161" s="9">
        <v>45395</v>
      </c>
      <c r="E2161" s="13" t="str">
        <f>+HYPERLINK("http://trademark.i-assist.jp/data/china/image_1883th/76460245.pdf","76460245")</f>
        <v>76460245</v>
      </c>
      <c r="F2161" s="7" t="s">
        <v>5922</v>
      </c>
      <c r="G2161" s="7" t="s">
        <v>5923</v>
      </c>
      <c r="H2161" s="7" t="s">
        <v>5924</v>
      </c>
      <c r="I2161" s="9">
        <v>45309</v>
      </c>
    </row>
    <row r="2162" spans="1:9" x14ac:dyDescent="0.15">
      <c r="A2162" s="6">
        <v>2161</v>
      </c>
      <c r="B2162" s="7" t="s">
        <v>9</v>
      </c>
      <c r="C2162" s="8">
        <v>1883</v>
      </c>
      <c r="D2162" s="9">
        <v>45395</v>
      </c>
      <c r="E2162" s="13" t="str">
        <f>+HYPERLINK("http://trademark.i-assist.jp/data/china/image_1883th/76460406.pdf","76460406")</f>
        <v>76460406</v>
      </c>
      <c r="F2162" s="7" t="s">
        <v>5925</v>
      </c>
      <c r="G2162" s="7" t="s">
        <v>5926</v>
      </c>
      <c r="H2162" s="7" t="s">
        <v>5927</v>
      </c>
      <c r="I2162" s="9">
        <v>45309</v>
      </c>
    </row>
    <row r="2163" spans="1:9" x14ac:dyDescent="0.15">
      <c r="A2163" s="6">
        <v>2162</v>
      </c>
      <c r="B2163" s="7" t="s">
        <v>9</v>
      </c>
      <c r="C2163" s="8">
        <v>1883</v>
      </c>
      <c r="D2163" s="9">
        <v>45395</v>
      </c>
      <c r="E2163" s="13" t="str">
        <f>+HYPERLINK("http://trademark.i-assist.jp/data/china/image_1883th/76460816.pdf","76460816")</f>
        <v>76460816</v>
      </c>
      <c r="F2163" s="7" t="s">
        <v>5928</v>
      </c>
      <c r="G2163" s="7" t="s">
        <v>5917</v>
      </c>
      <c r="H2163" s="7" t="s">
        <v>5929</v>
      </c>
      <c r="I2163" s="9">
        <v>45309</v>
      </c>
    </row>
    <row r="2164" spans="1:9" x14ac:dyDescent="0.15">
      <c r="A2164" s="6">
        <v>2163</v>
      </c>
      <c r="B2164" s="7" t="s">
        <v>9</v>
      </c>
      <c r="C2164" s="8">
        <v>1883</v>
      </c>
      <c r="D2164" s="9">
        <v>45395</v>
      </c>
      <c r="E2164" s="13" t="str">
        <f>+HYPERLINK("http://trademark.i-assist.jp/data/china/image_1883th/76460989.pdf","76460989")</f>
        <v>76460989</v>
      </c>
      <c r="F2164" s="7" t="s">
        <v>5930</v>
      </c>
      <c r="G2164" s="7" t="s">
        <v>1353</v>
      </c>
      <c r="H2164" s="7" t="s">
        <v>5931</v>
      </c>
      <c r="I2164" s="9">
        <v>45309</v>
      </c>
    </row>
    <row r="2165" spans="1:9" x14ac:dyDescent="0.15">
      <c r="A2165" s="6">
        <v>2164</v>
      </c>
      <c r="B2165" s="7" t="s">
        <v>9</v>
      </c>
      <c r="C2165" s="8">
        <v>1883</v>
      </c>
      <c r="D2165" s="9">
        <v>45395</v>
      </c>
      <c r="E2165" s="13" t="str">
        <f>+HYPERLINK("http://trademark.i-assist.jp/data/china/image_1883th/76461116.pdf","76461116")</f>
        <v>76461116</v>
      </c>
      <c r="F2165" s="7" t="s">
        <v>5932</v>
      </c>
      <c r="G2165" s="7" t="s">
        <v>5933</v>
      </c>
      <c r="H2165" s="7" t="s">
        <v>5934</v>
      </c>
      <c r="I2165" s="9">
        <v>45309</v>
      </c>
    </row>
    <row r="2166" spans="1:9" ht="27" x14ac:dyDescent="0.15">
      <c r="A2166" s="6">
        <v>2165</v>
      </c>
      <c r="B2166" s="7" t="s">
        <v>9</v>
      </c>
      <c r="C2166" s="8">
        <v>1883</v>
      </c>
      <c r="D2166" s="9">
        <v>45395</v>
      </c>
      <c r="E2166" s="13" t="str">
        <f>+HYPERLINK("http://trademark.i-assist.jp/data/china/image_1883th/76461348.pdf","76461348")</f>
        <v>76461348</v>
      </c>
      <c r="F2166" s="7" t="s">
        <v>5935</v>
      </c>
      <c r="G2166" s="7" t="s">
        <v>5936</v>
      </c>
      <c r="H2166" s="7" t="s">
        <v>5937</v>
      </c>
      <c r="I2166" s="9">
        <v>45309</v>
      </c>
    </row>
    <row r="2167" spans="1:9" x14ac:dyDescent="0.15">
      <c r="A2167" s="6">
        <v>2166</v>
      </c>
      <c r="B2167" s="7" t="s">
        <v>9</v>
      </c>
      <c r="C2167" s="8">
        <v>1883</v>
      </c>
      <c r="D2167" s="9">
        <v>45395</v>
      </c>
      <c r="E2167" s="13" t="str">
        <f>+HYPERLINK("http://trademark.i-assist.jp/data/china/image_1883th/76461481.pdf","76461481")</f>
        <v>76461481</v>
      </c>
      <c r="F2167" s="7" t="s">
        <v>5938</v>
      </c>
      <c r="G2167" s="7" t="s">
        <v>4451</v>
      </c>
      <c r="H2167" s="7" t="s">
        <v>5939</v>
      </c>
      <c r="I2167" s="9">
        <v>45309</v>
      </c>
    </row>
    <row r="2168" spans="1:9" x14ac:dyDescent="0.15">
      <c r="A2168" s="6">
        <v>2167</v>
      </c>
      <c r="B2168" s="7" t="s">
        <v>9</v>
      </c>
      <c r="C2168" s="8">
        <v>1883</v>
      </c>
      <c r="D2168" s="9">
        <v>45395</v>
      </c>
      <c r="E2168" s="13" t="str">
        <f>+HYPERLINK("http://trademark.i-assist.jp/data/china/image_1883th/76461484.pdf","76461484")</f>
        <v>76461484</v>
      </c>
      <c r="F2168" s="7" t="s">
        <v>5940</v>
      </c>
      <c r="G2168" s="7" t="s">
        <v>5941</v>
      </c>
      <c r="H2168" s="7" t="s">
        <v>5942</v>
      </c>
      <c r="I2168" s="9">
        <v>45309</v>
      </c>
    </row>
    <row r="2169" spans="1:9" x14ac:dyDescent="0.15">
      <c r="A2169" s="6">
        <v>2168</v>
      </c>
      <c r="B2169" s="7" t="s">
        <v>9</v>
      </c>
      <c r="C2169" s="8">
        <v>1883</v>
      </c>
      <c r="D2169" s="9">
        <v>45395</v>
      </c>
      <c r="E2169" s="13" t="str">
        <f>+HYPERLINK("http://trademark.i-assist.jp/data/china/image_1883th/76461631.pdf","76461631")</f>
        <v>76461631</v>
      </c>
      <c r="F2169" s="7" t="s">
        <v>5943</v>
      </c>
      <c r="G2169" s="7" t="s">
        <v>5917</v>
      </c>
      <c r="H2169" s="7" t="s">
        <v>5944</v>
      </c>
      <c r="I2169" s="9">
        <v>45309</v>
      </c>
    </row>
    <row r="2170" spans="1:9" x14ac:dyDescent="0.15">
      <c r="A2170" s="6">
        <v>2169</v>
      </c>
      <c r="B2170" s="7" t="s">
        <v>9</v>
      </c>
      <c r="C2170" s="8">
        <v>1883</v>
      </c>
      <c r="D2170" s="9">
        <v>45395</v>
      </c>
      <c r="E2170" s="13" t="str">
        <f>+HYPERLINK("http://trademark.i-assist.jp/data/china/image_1883th/76461636.pdf","76461636")</f>
        <v>76461636</v>
      </c>
      <c r="F2170" s="7" t="s">
        <v>5945</v>
      </c>
      <c r="G2170" s="7" t="s">
        <v>5946</v>
      </c>
      <c r="H2170" s="7" t="s">
        <v>5947</v>
      </c>
      <c r="I2170" s="9">
        <v>45309</v>
      </c>
    </row>
    <row r="2171" spans="1:9" ht="27" x14ac:dyDescent="0.15">
      <c r="A2171" s="6">
        <v>2170</v>
      </c>
      <c r="B2171" s="7" t="s">
        <v>9</v>
      </c>
      <c r="C2171" s="8">
        <v>1883</v>
      </c>
      <c r="D2171" s="9">
        <v>45395</v>
      </c>
      <c r="E2171" s="13" t="str">
        <f>+HYPERLINK("http://trademark.i-assist.jp/data/china/image_1883th/76461694.pdf","76461694")</f>
        <v>76461694</v>
      </c>
      <c r="F2171" s="7" t="s">
        <v>5948</v>
      </c>
      <c r="G2171" s="7" t="s">
        <v>5949</v>
      </c>
      <c r="H2171" s="7" t="s">
        <v>5950</v>
      </c>
      <c r="I2171" s="9">
        <v>45309</v>
      </c>
    </row>
    <row r="2172" spans="1:9" x14ac:dyDescent="0.15">
      <c r="A2172" s="6">
        <v>2171</v>
      </c>
      <c r="B2172" s="7" t="s">
        <v>9</v>
      </c>
      <c r="C2172" s="8">
        <v>1883</v>
      </c>
      <c r="D2172" s="9">
        <v>45395</v>
      </c>
      <c r="E2172" s="13" t="str">
        <f>+HYPERLINK("http://trademark.i-assist.jp/data/china/image_1883th/76461888.pdf","76461888")</f>
        <v>76461888</v>
      </c>
      <c r="F2172" s="7" t="s">
        <v>5951</v>
      </c>
      <c r="G2172" s="7" t="s">
        <v>5952</v>
      </c>
      <c r="H2172" s="7" t="s">
        <v>5953</v>
      </c>
      <c r="I2172" s="9">
        <v>45309</v>
      </c>
    </row>
    <row r="2173" spans="1:9" x14ac:dyDescent="0.15">
      <c r="A2173" s="6">
        <v>2172</v>
      </c>
      <c r="B2173" s="7" t="s">
        <v>9</v>
      </c>
      <c r="C2173" s="8">
        <v>1883</v>
      </c>
      <c r="D2173" s="9">
        <v>45395</v>
      </c>
      <c r="E2173" s="13" t="str">
        <f>+HYPERLINK("http://trademark.i-assist.jp/data/china/image_1883th/76461999.pdf","76461999")</f>
        <v>76461999</v>
      </c>
      <c r="F2173" s="7" t="s">
        <v>5954</v>
      </c>
      <c r="G2173" s="7" t="s">
        <v>5955</v>
      </c>
      <c r="H2173" s="7" t="s">
        <v>5956</v>
      </c>
      <c r="I2173" s="9">
        <v>45309</v>
      </c>
    </row>
    <row r="2174" spans="1:9" x14ac:dyDescent="0.15">
      <c r="A2174" s="6">
        <v>2173</v>
      </c>
      <c r="B2174" s="7" t="s">
        <v>9</v>
      </c>
      <c r="C2174" s="8">
        <v>1883</v>
      </c>
      <c r="D2174" s="9">
        <v>45395</v>
      </c>
      <c r="E2174" s="13" t="str">
        <f>+HYPERLINK("http://trademark.i-assist.jp/data/china/image_1883th/76462076.pdf","76462076")</f>
        <v>76462076</v>
      </c>
      <c r="F2174" s="7" t="s">
        <v>5957</v>
      </c>
      <c r="G2174" s="7" t="s">
        <v>5958</v>
      </c>
      <c r="H2174" s="7" t="s">
        <v>5959</v>
      </c>
      <c r="I2174" s="9">
        <v>45309</v>
      </c>
    </row>
    <row r="2175" spans="1:9" x14ac:dyDescent="0.15">
      <c r="A2175" s="6">
        <v>2174</v>
      </c>
      <c r="B2175" s="7" t="s">
        <v>9</v>
      </c>
      <c r="C2175" s="8">
        <v>1883</v>
      </c>
      <c r="D2175" s="9">
        <v>45395</v>
      </c>
      <c r="E2175" s="13" t="str">
        <f>+HYPERLINK("http://trademark.i-assist.jp/data/china/image_1883th/76462581.pdf","76462581")</f>
        <v>76462581</v>
      </c>
      <c r="F2175" s="7" t="s">
        <v>5960</v>
      </c>
      <c r="G2175" s="7" t="s">
        <v>5961</v>
      </c>
      <c r="H2175" s="7" t="s">
        <v>5962</v>
      </c>
      <c r="I2175" s="9">
        <v>45309</v>
      </c>
    </row>
    <row r="2176" spans="1:9" x14ac:dyDescent="0.15">
      <c r="A2176" s="6">
        <v>2175</v>
      </c>
      <c r="B2176" s="7" t="s">
        <v>9</v>
      </c>
      <c r="C2176" s="8">
        <v>1883</v>
      </c>
      <c r="D2176" s="9">
        <v>45395</v>
      </c>
      <c r="E2176" s="13" t="str">
        <f>+HYPERLINK("http://trademark.i-assist.jp/data/china/image_1883th/76462729.pdf","76462729")</f>
        <v>76462729</v>
      </c>
      <c r="F2176" s="7" t="s">
        <v>5963</v>
      </c>
      <c r="G2176" s="7" t="s">
        <v>5964</v>
      </c>
      <c r="H2176" s="7" t="s">
        <v>5965</v>
      </c>
      <c r="I2176" s="9">
        <v>45309</v>
      </c>
    </row>
    <row r="2177" spans="1:9" x14ac:dyDescent="0.15">
      <c r="A2177" s="6">
        <v>2176</v>
      </c>
      <c r="B2177" s="7" t="s">
        <v>9</v>
      </c>
      <c r="C2177" s="8">
        <v>1883</v>
      </c>
      <c r="D2177" s="9">
        <v>45395</v>
      </c>
      <c r="E2177" s="13" t="str">
        <f>+HYPERLINK("http://trademark.i-assist.jp/data/china/image_1883th/76462948.pdf","76462948")</f>
        <v>76462948</v>
      </c>
      <c r="F2177" s="7" t="s">
        <v>5966</v>
      </c>
      <c r="G2177" s="7" t="s">
        <v>5967</v>
      </c>
      <c r="H2177" s="7" t="s">
        <v>5968</v>
      </c>
      <c r="I2177" s="9">
        <v>45309</v>
      </c>
    </row>
    <row r="2178" spans="1:9" x14ac:dyDescent="0.15">
      <c r="A2178" s="6">
        <v>2177</v>
      </c>
      <c r="B2178" s="7" t="s">
        <v>9</v>
      </c>
      <c r="C2178" s="8">
        <v>1883</v>
      </c>
      <c r="D2178" s="9">
        <v>45395</v>
      </c>
      <c r="E2178" s="13" t="str">
        <f>+HYPERLINK("http://trademark.i-assist.jp/data/china/image_1883th/76463099.pdf","76463099")</f>
        <v>76463099</v>
      </c>
      <c r="F2178" s="7" t="s">
        <v>57</v>
      </c>
      <c r="G2178" s="7" t="s">
        <v>5969</v>
      </c>
      <c r="H2178" s="7" t="s">
        <v>5970</v>
      </c>
      <c r="I2178" s="9">
        <v>45309</v>
      </c>
    </row>
    <row r="2179" spans="1:9" x14ac:dyDescent="0.15">
      <c r="A2179" s="6">
        <v>2178</v>
      </c>
      <c r="B2179" s="7" t="s">
        <v>9</v>
      </c>
      <c r="C2179" s="8">
        <v>1883</v>
      </c>
      <c r="D2179" s="9">
        <v>45395</v>
      </c>
      <c r="E2179" s="13" t="str">
        <f>+HYPERLINK("http://trademark.i-assist.jp/data/china/image_1883th/76464640.pdf","76464640")</f>
        <v>76464640</v>
      </c>
      <c r="F2179" s="7" t="s">
        <v>5971</v>
      </c>
      <c r="G2179" s="7" t="s">
        <v>5972</v>
      </c>
      <c r="H2179" s="7" t="s">
        <v>5973</v>
      </c>
      <c r="I2179" s="9">
        <v>45309</v>
      </c>
    </row>
    <row r="2180" spans="1:9" x14ac:dyDescent="0.15">
      <c r="A2180" s="6">
        <v>2179</v>
      </c>
      <c r="B2180" s="7" t="s">
        <v>9</v>
      </c>
      <c r="C2180" s="8">
        <v>1883</v>
      </c>
      <c r="D2180" s="9">
        <v>45395</v>
      </c>
      <c r="E2180" s="13" t="str">
        <f>+HYPERLINK("http://trademark.i-assist.jp/data/china/image_1883th/76464654.pdf","76464654")</f>
        <v>76464654</v>
      </c>
      <c r="F2180" s="7" t="s">
        <v>5974</v>
      </c>
      <c r="G2180" s="7" t="s">
        <v>5975</v>
      </c>
      <c r="H2180" s="7" t="s">
        <v>5976</v>
      </c>
      <c r="I2180" s="9">
        <v>45309</v>
      </c>
    </row>
    <row r="2181" spans="1:9" x14ac:dyDescent="0.15">
      <c r="A2181" s="6">
        <v>2180</v>
      </c>
      <c r="B2181" s="7" t="s">
        <v>9</v>
      </c>
      <c r="C2181" s="8">
        <v>1883</v>
      </c>
      <c r="D2181" s="9">
        <v>45395</v>
      </c>
      <c r="E2181" s="13" t="str">
        <f>+HYPERLINK("http://trademark.i-assist.jp/data/china/image_1883th/76464699.pdf","76464699")</f>
        <v>76464699</v>
      </c>
      <c r="F2181" s="7" t="s">
        <v>57</v>
      </c>
      <c r="G2181" s="7" t="s">
        <v>5977</v>
      </c>
      <c r="H2181" s="7" t="s">
        <v>5978</v>
      </c>
      <c r="I2181" s="9">
        <v>45309</v>
      </c>
    </row>
    <row r="2182" spans="1:9" x14ac:dyDescent="0.15">
      <c r="A2182" s="6">
        <v>2181</v>
      </c>
      <c r="B2182" s="7" t="s">
        <v>9</v>
      </c>
      <c r="C2182" s="8">
        <v>1883</v>
      </c>
      <c r="D2182" s="9">
        <v>45395</v>
      </c>
      <c r="E2182" s="13" t="str">
        <f>+HYPERLINK("http://trademark.i-assist.jp/data/china/image_1883th/76464916.pdf","76464916")</f>
        <v>76464916</v>
      </c>
      <c r="F2182" s="7" t="s">
        <v>5979</v>
      </c>
      <c r="G2182" s="7" t="s">
        <v>5980</v>
      </c>
      <c r="H2182" s="7" t="s">
        <v>5981</v>
      </c>
      <c r="I2182" s="9">
        <v>45309</v>
      </c>
    </row>
    <row r="2183" spans="1:9" x14ac:dyDescent="0.15">
      <c r="A2183" s="6">
        <v>2182</v>
      </c>
      <c r="B2183" s="7" t="s">
        <v>9</v>
      </c>
      <c r="C2183" s="8">
        <v>1883</v>
      </c>
      <c r="D2183" s="9">
        <v>45395</v>
      </c>
      <c r="E2183" s="13" t="str">
        <f>+HYPERLINK("http://trademark.i-assist.jp/data/china/image_1883th/76464958.pdf","76464958")</f>
        <v>76464958</v>
      </c>
      <c r="F2183" s="7" t="s">
        <v>5982</v>
      </c>
      <c r="G2183" s="7" t="s">
        <v>5983</v>
      </c>
      <c r="H2183" s="7" t="s">
        <v>5984</v>
      </c>
      <c r="I2183" s="9">
        <v>45309</v>
      </c>
    </row>
    <row r="2184" spans="1:9" ht="27" x14ac:dyDescent="0.15">
      <c r="A2184" s="6">
        <v>2183</v>
      </c>
      <c r="B2184" s="7" t="s">
        <v>9</v>
      </c>
      <c r="C2184" s="8">
        <v>1883</v>
      </c>
      <c r="D2184" s="9">
        <v>45395</v>
      </c>
      <c r="E2184" s="13" t="str">
        <f>+HYPERLINK("http://trademark.i-assist.jp/data/china/image_1883th/76464972.pdf","76464972")</f>
        <v>76464972</v>
      </c>
      <c r="F2184" s="7" t="s">
        <v>5985</v>
      </c>
      <c r="G2184" s="7" t="s">
        <v>5339</v>
      </c>
      <c r="H2184" s="7" t="s">
        <v>5986</v>
      </c>
      <c r="I2184" s="9">
        <v>45309</v>
      </c>
    </row>
    <row r="2185" spans="1:9" x14ac:dyDescent="0.15">
      <c r="A2185" s="6">
        <v>2184</v>
      </c>
      <c r="B2185" s="7" t="s">
        <v>9</v>
      </c>
      <c r="C2185" s="8">
        <v>1883</v>
      </c>
      <c r="D2185" s="9">
        <v>45395</v>
      </c>
      <c r="E2185" s="13" t="str">
        <f>+HYPERLINK("http://trademark.i-assist.jp/data/china/image_1883th/76464995.pdf","76464995")</f>
        <v>76464995</v>
      </c>
      <c r="F2185" s="7" t="s">
        <v>5987</v>
      </c>
      <c r="G2185" s="7" t="s">
        <v>5917</v>
      </c>
      <c r="H2185" s="7" t="s">
        <v>5988</v>
      </c>
      <c r="I2185" s="9">
        <v>45309</v>
      </c>
    </row>
    <row r="2186" spans="1:9" ht="27" x14ac:dyDescent="0.15">
      <c r="A2186" s="6">
        <v>2185</v>
      </c>
      <c r="B2186" s="7" t="s">
        <v>9</v>
      </c>
      <c r="C2186" s="8">
        <v>1883</v>
      </c>
      <c r="D2186" s="9">
        <v>45395</v>
      </c>
      <c r="E2186" s="13" t="str">
        <f>+HYPERLINK("http://trademark.i-assist.jp/data/china/image_1883th/76465023.pdf","76465023")</f>
        <v>76465023</v>
      </c>
      <c r="F2186" s="7" t="s">
        <v>5989</v>
      </c>
      <c r="G2186" s="7" t="s">
        <v>5990</v>
      </c>
      <c r="H2186" s="7" t="s">
        <v>5991</v>
      </c>
      <c r="I2186" s="9">
        <v>45309</v>
      </c>
    </row>
    <row r="2187" spans="1:9" ht="27" x14ac:dyDescent="0.15">
      <c r="A2187" s="6">
        <v>2186</v>
      </c>
      <c r="B2187" s="7" t="s">
        <v>9</v>
      </c>
      <c r="C2187" s="8">
        <v>1883</v>
      </c>
      <c r="D2187" s="9">
        <v>45395</v>
      </c>
      <c r="E2187" s="13" t="str">
        <f>+HYPERLINK("http://trademark.i-assist.jp/data/china/image_1883th/76465032.pdf","76465032")</f>
        <v>76465032</v>
      </c>
      <c r="F2187" s="7" t="s">
        <v>5992</v>
      </c>
      <c r="G2187" s="7" t="s">
        <v>5993</v>
      </c>
      <c r="H2187" s="7" t="s">
        <v>5994</v>
      </c>
      <c r="I2187" s="9">
        <v>45309</v>
      </c>
    </row>
    <row r="2188" spans="1:9" x14ac:dyDescent="0.15">
      <c r="A2188" s="6">
        <v>2187</v>
      </c>
      <c r="B2188" s="7" t="s">
        <v>9</v>
      </c>
      <c r="C2188" s="8">
        <v>1883</v>
      </c>
      <c r="D2188" s="9">
        <v>45395</v>
      </c>
      <c r="E2188" s="13" t="str">
        <f>+HYPERLINK("http://trademark.i-assist.jp/data/china/image_1883th/76465065.pdf","76465065")</f>
        <v>76465065</v>
      </c>
      <c r="F2188" s="7" t="s">
        <v>5995</v>
      </c>
      <c r="G2188" s="7" t="s">
        <v>5996</v>
      </c>
      <c r="H2188" s="7" t="s">
        <v>5997</v>
      </c>
      <c r="I2188" s="9">
        <v>45309</v>
      </c>
    </row>
    <row r="2189" spans="1:9" x14ac:dyDescent="0.15">
      <c r="A2189" s="6">
        <v>2188</v>
      </c>
      <c r="B2189" s="7" t="s">
        <v>9</v>
      </c>
      <c r="C2189" s="8">
        <v>1883</v>
      </c>
      <c r="D2189" s="9">
        <v>45395</v>
      </c>
      <c r="E2189" s="13" t="str">
        <f>+HYPERLINK("http://trademark.i-assist.jp/data/china/image_1883th/76465228.pdf","76465228")</f>
        <v>76465228</v>
      </c>
      <c r="F2189" s="7" t="s">
        <v>5998</v>
      </c>
      <c r="G2189" s="7" t="s">
        <v>5999</v>
      </c>
      <c r="H2189" s="7" t="s">
        <v>6000</v>
      </c>
      <c r="I2189" s="9">
        <v>45309</v>
      </c>
    </row>
    <row r="2190" spans="1:9" x14ac:dyDescent="0.15">
      <c r="A2190" s="6">
        <v>2189</v>
      </c>
      <c r="B2190" s="7" t="s">
        <v>9</v>
      </c>
      <c r="C2190" s="8">
        <v>1883</v>
      </c>
      <c r="D2190" s="9">
        <v>45395</v>
      </c>
      <c r="E2190" s="13" t="str">
        <f>+HYPERLINK("http://trademark.i-assist.jp/data/china/image_1883th/76465435.pdf","76465435")</f>
        <v>76465435</v>
      </c>
      <c r="F2190" s="7" t="s">
        <v>6001</v>
      </c>
      <c r="G2190" s="7" t="s">
        <v>6002</v>
      </c>
      <c r="H2190" s="7" t="s">
        <v>6003</v>
      </c>
      <c r="I2190" s="9">
        <v>45309</v>
      </c>
    </row>
    <row r="2191" spans="1:9" x14ac:dyDescent="0.15">
      <c r="A2191" s="6">
        <v>2190</v>
      </c>
      <c r="B2191" s="7" t="s">
        <v>9</v>
      </c>
      <c r="C2191" s="8">
        <v>1883</v>
      </c>
      <c r="D2191" s="9">
        <v>45395</v>
      </c>
      <c r="E2191" s="13" t="str">
        <f>+HYPERLINK("http://trademark.i-assist.jp/data/china/image_1883th/76465593.pdf","76465593")</f>
        <v>76465593</v>
      </c>
      <c r="F2191" s="7" t="s">
        <v>6004</v>
      </c>
      <c r="G2191" s="7" t="s">
        <v>5917</v>
      </c>
      <c r="H2191" s="7" t="s">
        <v>6005</v>
      </c>
      <c r="I2191" s="9">
        <v>45309</v>
      </c>
    </row>
    <row r="2192" spans="1:9" ht="27" x14ac:dyDescent="0.15">
      <c r="A2192" s="6">
        <v>2191</v>
      </c>
      <c r="B2192" s="7" t="s">
        <v>9</v>
      </c>
      <c r="C2192" s="8">
        <v>1883</v>
      </c>
      <c r="D2192" s="9">
        <v>45395</v>
      </c>
      <c r="E2192" s="13" t="str">
        <f>+HYPERLINK("http://trademark.i-assist.jp/data/china/image_1883th/76465620.pdf","76465620")</f>
        <v>76465620</v>
      </c>
      <c r="F2192" s="7" t="s">
        <v>57</v>
      </c>
      <c r="G2192" s="7" t="s">
        <v>6006</v>
      </c>
      <c r="H2192" s="7" t="s">
        <v>6007</v>
      </c>
      <c r="I2192" s="9">
        <v>45310</v>
      </c>
    </row>
    <row r="2193" spans="1:9" x14ac:dyDescent="0.15">
      <c r="A2193" s="6">
        <v>2192</v>
      </c>
      <c r="B2193" s="7" t="s">
        <v>9</v>
      </c>
      <c r="C2193" s="8">
        <v>1883</v>
      </c>
      <c r="D2193" s="9">
        <v>45395</v>
      </c>
      <c r="E2193" s="13" t="str">
        <f>+HYPERLINK("http://trademark.i-assist.jp/data/china/image_1883th/76465736.pdf","76465736")</f>
        <v>76465736</v>
      </c>
      <c r="F2193" s="7" t="s">
        <v>6008</v>
      </c>
      <c r="G2193" s="7" t="s">
        <v>1513</v>
      </c>
      <c r="H2193" s="7" t="s">
        <v>6009</v>
      </c>
      <c r="I2193" s="9">
        <v>45309</v>
      </c>
    </row>
    <row r="2194" spans="1:9" ht="27" x14ac:dyDescent="0.15">
      <c r="A2194" s="6">
        <v>2193</v>
      </c>
      <c r="B2194" s="7" t="s">
        <v>9</v>
      </c>
      <c r="C2194" s="8">
        <v>1883</v>
      </c>
      <c r="D2194" s="9">
        <v>45395</v>
      </c>
      <c r="E2194" s="13" t="str">
        <f>+HYPERLINK("http://trademark.i-assist.jp/data/china/image_1883th/76465797.pdf","76465797")</f>
        <v>76465797</v>
      </c>
      <c r="F2194" s="7" t="s">
        <v>57</v>
      </c>
      <c r="G2194" s="7" t="s">
        <v>6010</v>
      </c>
      <c r="H2194" s="7" t="s">
        <v>6011</v>
      </c>
      <c r="I2194" s="9">
        <v>45309</v>
      </c>
    </row>
    <row r="2195" spans="1:9" x14ac:dyDescent="0.15">
      <c r="A2195" s="6">
        <v>2194</v>
      </c>
      <c r="B2195" s="7" t="s">
        <v>9</v>
      </c>
      <c r="C2195" s="8">
        <v>1883</v>
      </c>
      <c r="D2195" s="9">
        <v>45395</v>
      </c>
      <c r="E2195" s="13" t="str">
        <f>+HYPERLINK("http://trademark.i-assist.jp/data/china/image_1883th/76465799.pdf","76465799")</f>
        <v>76465799</v>
      </c>
      <c r="F2195" s="7" t="s">
        <v>6012</v>
      </c>
      <c r="G2195" s="7" t="s">
        <v>6013</v>
      </c>
      <c r="H2195" s="7" t="s">
        <v>6014</v>
      </c>
      <c r="I2195" s="9">
        <v>45309</v>
      </c>
    </row>
    <row r="2196" spans="1:9" x14ac:dyDescent="0.15">
      <c r="A2196" s="6">
        <v>2195</v>
      </c>
      <c r="B2196" s="7" t="s">
        <v>9</v>
      </c>
      <c r="C2196" s="8">
        <v>1883</v>
      </c>
      <c r="D2196" s="9">
        <v>45395</v>
      </c>
      <c r="E2196" s="13" t="str">
        <f>+HYPERLINK("http://trademark.i-assist.jp/data/china/image_1883th/76465868.pdf","76465868")</f>
        <v>76465868</v>
      </c>
      <c r="F2196" s="7" t="s">
        <v>6015</v>
      </c>
      <c r="G2196" s="7" t="s">
        <v>6016</v>
      </c>
      <c r="H2196" s="7" t="s">
        <v>6017</v>
      </c>
      <c r="I2196" s="9">
        <v>45309</v>
      </c>
    </row>
    <row r="2197" spans="1:9" ht="27" x14ac:dyDescent="0.15">
      <c r="A2197" s="6">
        <v>2196</v>
      </c>
      <c r="B2197" s="7" t="s">
        <v>9</v>
      </c>
      <c r="C2197" s="8">
        <v>1883</v>
      </c>
      <c r="D2197" s="9">
        <v>45395</v>
      </c>
      <c r="E2197" s="13" t="str">
        <f>+HYPERLINK("http://trademark.i-assist.jp/data/china/image_1883th/76466060.pdf","76466060")</f>
        <v>76466060</v>
      </c>
      <c r="F2197" s="7" t="s">
        <v>6018</v>
      </c>
      <c r="G2197" s="7" t="s">
        <v>5936</v>
      </c>
      <c r="H2197" s="7" t="s">
        <v>6019</v>
      </c>
      <c r="I2197" s="9">
        <v>45309</v>
      </c>
    </row>
    <row r="2198" spans="1:9" x14ac:dyDescent="0.15">
      <c r="A2198" s="6">
        <v>2197</v>
      </c>
      <c r="B2198" s="7" t="s">
        <v>9</v>
      </c>
      <c r="C2198" s="8">
        <v>1883</v>
      </c>
      <c r="D2198" s="9">
        <v>45395</v>
      </c>
      <c r="E2198" s="13" t="str">
        <f>+HYPERLINK("http://trademark.i-assist.jp/data/china/image_1883th/76466243.pdf","76466243")</f>
        <v>76466243</v>
      </c>
      <c r="F2198" s="7" t="s">
        <v>6020</v>
      </c>
      <c r="G2198" s="7" t="s">
        <v>6021</v>
      </c>
      <c r="H2198" s="7" t="s">
        <v>6022</v>
      </c>
      <c r="I2198" s="9">
        <v>45310</v>
      </c>
    </row>
    <row r="2199" spans="1:9" x14ac:dyDescent="0.15">
      <c r="A2199" s="6">
        <v>2198</v>
      </c>
      <c r="B2199" s="7" t="s">
        <v>9</v>
      </c>
      <c r="C2199" s="8">
        <v>1883</v>
      </c>
      <c r="D2199" s="9">
        <v>45395</v>
      </c>
      <c r="E2199" s="13" t="str">
        <f>+HYPERLINK("http://trademark.i-assist.jp/data/china/image_1883th/76466335.pdf","76466335")</f>
        <v>76466335</v>
      </c>
      <c r="F2199" s="7" t="s">
        <v>6023</v>
      </c>
      <c r="G2199" s="7" t="s">
        <v>6024</v>
      </c>
      <c r="H2199" s="7" t="s">
        <v>6025</v>
      </c>
      <c r="I2199" s="9">
        <v>45310</v>
      </c>
    </row>
    <row r="2200" spans="1:9" x14ac:dyDescent="0.15">
      <c r="A2200" s="6">
        <v>2199</v>
      </c>
      <c r="B2200" s="7" t="s">
        <v>9</v>
      </c>
      <c r="C2200" s="8">
        <v>1883</v>
      </c>
      <c r="D2200" s="9">
        <v>45395</v>
      </c>
      <c r="E2200" s="13" t="str">
        <f>+HYPERLINK("http://trademark.i-assist.jp/data/china/image_1883th/76466341.pdf","76466341")</f>
        <v>76466341</v>
      </c>
      <c r="F2200" s="7" t="s">
        <v>6026</v>
      </c>
      <c r="G2200" s="7" t="s">
        <v>6024</v>
      </c>
      <c r="H2200" s="7" t="s">
        <v>6027</v>
      </c>
      <c r="I2200" s="9">
        <v>45310</v>
      </c>
    </row>
    <row r="2201" spans="1:9" x14ac:dyDescent="0.15">
      <c r="A2201" s="6">
        <v>2200</v>
      </c>
      <c r="B2201" s="7" t="s">
        <v>9</v>
      </c>
      <c r="C2201" s="8">
        <v>1883</v>
      </c>
      <c r="D2201" s="9">
        <v>45395</v>
      </c>
      <c r="E2201" s="13" t="str">
        <f>+HYPERLINK("http://trademark.i-assist.jp/data/china/image_1883th/76466347.pdf","76466347")</f>
        <v>76466347</v>
      </c>
      <c r="F2201" s="7" t="s">
        <v>6028</v>
      </c>
      <c r="G2201" s="7" t="s">
        <v>6029</v>
      </c>
      <c r="H2201" s="7" t="s">
        <v>6030</v>
      </c>
      <c r="I2201" s="9">
        <v>45310</v>
      </c>
    </row>
    <row r="2202" spans="1:9" x14ac:dyDescent="0.15">
      <c r="A2202" s="6">
        <v>2201</v>
      </c>
      <c r="B2202" s="7" t="s">
        <v>9</v>
      </c>
      <c r="C2202" s="8">
        <v>1883</v>
      </c>
      <c r="D2202" s="9">
        <v>45395</v>
      </c>
      <c r="E2202" s="13" t="str">
        <f>+HYPERLINK("http://trademark.i-assist.jp/data/china/image_1883th/76466794.pdf","76466794")</f>
        <v>76466794</v>
      </c>
      <c r="F2202" s="7" t="s">
        <v>6031</v>
      </c>
      <c r="G2202" s="7" t="s">
        <v>6032</v>
      </c>
      <c r="H2202" s="7" t="s">
        <v>6033</v>
      </c>
      <c r="I2202" s="9">
        <v>45309</v>
      </c>
    </row>
    <row r="2203" spans="1:9" x14ac:dyDescent="0.15">
      <c r="A2203" s="6">
        <v>2202</v>
      </c>
      <c r="B2203" s="7" t="s">
        <v>9</v>
      </c>
      <c r="C2203" s="8">
        <v>1883</v>
      </c>
      <c r="D2203" s="9">
        <v>45395</v>
      </c>
      <c r="E2203" s="13" t="str">
        <f>+HYPERLINK("http://trademark.i-assist.jp/data/china/image_1883th/76466881.pdf","76466881")</f>
        <v>76466881</v>
      </c>
      <c r="F2203" s="7" t="s">
        <v>6034</v>
      </c>
      <c r="G2203" s="7" t="s">
        <v>3624</v>
      </c>
      <c r="H2203" s="7" t="s">
        <v>6035</v>
      </c>
      <c r="I2203" s="9">
        <v>45309</v>
      </c>
    </row>
    <row r="2204" spans="1:9" x14ac:dyDescent="0.15">
      <c r="A2204" s="6">
        <v>2203</v>
      </c>
      <c r="B2204" s="7" t="s">
        <v>9</v>
      </c>
      <c r="C2204" s="8">
        <v>1883</v>
      </c>
      <c r="D2204" s="9">
        <v>45395</v>
      </c>
      <c r="E2204" s="13" t="str">
        <f>+HYPERLINK("http://trademark.i-assist.jp/data/china/image_1883th/76466882.pdf","76466882")</f>
        <v>76466882</v>
      </c>
      <c r="F2204" s="7" t="s">
        <v>6036</v>
      </c>
      <c r="G2204" s="7" t="s">
        <v>6037</v>
      </c>
      <c r="H2204" s="7" t="s">
        <v>6038</v>
      </c>
      <c r="I2204" s="9">
        <v>45309</v>
      </c>
    </row>
    <row r="2205" spans="1:9" x14ac:dyDescent="0.15">
      <c r="A2205" s="6">
        <v>2204</v>
      </c>
      <c r="B2205" s="7" t="s">
        <v>9</v>
      </c>
      <c r="C2205" s="8">
        <v>1883</v>
      </c>
      <c r="D2205" s="9">
        <v>45395</v>
      </c>
      <c r="E2205" s="13" t="str">
        <f>+HYPERLINK("http://trademark.i-assist.jp/data/china/image_1883th/76467105.pdf","76467105")</f>
        <v>76467105</v>
      </c>
      <c r="F2205" s="7" t="s">
        <v>6039</v>
      </c>
      <c r="G2205" s="7" t="s">
        <v>6040</v>
      </c>
      <c r="H2205" s="7" t="s">
        <v>6041</v>
      </c>
      <c r="I2205" s="9">
        <v>45309</v>
      </c>
    </row>
    <row r="2206" spans="1:9" x14ac:dyDescent="0.15">
      <c r="A2206" s="6">
        <v>2205</v>
      </c>
      <c r="B2206" s="7" t="s">
        <v>9</v>
      </c>
      <c r="C2206" s="8">
        <v>1883</v>
      </c>
      <c r="D2206" s="9">
        <v>45395</v>
      </c>
      <c r="E2206" s="13" t="str">
        <f>+HYPERLINK("http://trademark.i-assist.jp/data/china/image_1883th/76467176.pdf","76467176")</f>
        <v>76467176</v>
      </c>
      <c r="F2206" s="7" t="s">
        <v>6042</v>
      </c>
      <c r="G2206" s="7" t="s">
        <v>5900</v>
      </c>
      <c r="H2206" s="7" t="s">
        <v>6043</v>
      </c>
      <c r="I2206" s="9">
        <v>45309</v>
      </c>
    </row>
    <row r="2207" spans="1:9" x14ac:dyDescent="0.15">
      <c r="A2207" s="6">
        <v>2206</v>
      </c>
      <c r="B2207" s="7" t="s">
        <v>9</v>
      </c>
      <c r="C2207" s="8">
        <v>1883</v>
      </c>
      <c r="D2207" s="9">
        <v>45395</v>
      </c>
      <c r="E2207" s="13" t="str">
        <f>+HYPERLINK("http://trademark.i-assist.jp/data/china/image_1883th/76467259.pdf","76467259")</f>
        <v>76467259</v>
      </c>
      <c r="F2207" s="7" t="s">
        <v>6044</v>
      </c>
      <c r="G2207" s="7" t="s">
        <v>6045</v>
      </c>
      <c r="H2207" s="7" t="s">
        <v>6046</v>
      </c>
      <c r="I2207" s="9">
        <v>45310</v>
      </c>
    </row>
    <row r="2208" spans="1:9" x14ac:dyDescent="0.15">
      <c r="A2208" s="6">
        <v>2207</v>
      </c>
      <c r="B2208" s="7" t="s">
        <v>9</v>
      </c>
      <c r="C2208" s="8">
        <v>1883</v>
      </c>
      <c r="D2208" s="9">
        <v>45395</v>
      </c>
      <c r="E2208" s="13" t="str">
        <f>+HYPERLINK("http://trademark.i-assist.jp/data/china/image_1883th/76467387.pdf","76467387")</f>
        <v>76467387</v>
      </c>
      <c r="F2208" s="7" t="s">
        <v>6047</v>
      </c>
      <c r="G2208" s="7" t="s">
        <v>6048</v>
      </c>
      <c r="H2208" s="7" t="s">
        <v>6049</v>
      </c>
      <c r="I2208" s="9">
        <v>45310</v>
      </c>
    </row>
    <row r="2209" spans="1:9" x14ac:dyDescent="0.15">
      <c r="A2209" s="6">
        <v>2208</v>
      </c>
      <c r="B2209" s="7" t="s">
        <v>9</v>
      </c>
      <c r="C2209" s="8">
        <v>1883</v>
      </c>
      <c r="D2209" s="9">
        <v>45395</v>
      </c>
      <c r="E2209" s="13" t="str">
        <f>+HYPERLINK("http://trademark.i-assist.jp/data/china/image_1883th/76467528.pdf","76467528")</f>
        <v>76467528</v>
      </c>
      <c r="F2209" s="7" t="s">
        <v>6050</v>
      </c>
      <c r="G2209" s="7" t="s">
        <v>6051</v>
      </c>
      <c r="H2209" s="7" t="s">
        <v>6052</v>
      </c>
      <c r="I2209" s="9">
        <v>45310</v>
      </c>
    </row>
    <row r="2210" spans="1:9" x14ac:dyDescent="0.15">
      <c r="A2210" s="6">
        <v>2209</v>
      </c>
      <c r="B2210" s="7" t="s">
        <v>9</v>
      </c>
      <c r="C2210" s="8">
        <v>1883</v>
      </c>
      <c r="D2210" s="9">
        <v>45395</v>
      </c>
      <c r="E2210" s="13" t="str">
        <f>+HYPERLINK("http://trademark.i-assist.jp/data/china/image_1883th/76467901.pdf","76467901")</f>
        <v>76467901</v>
      </c>
      <c r="F2210" s="7" t="s">
        <v>6053</v>
      </c>
      <c r="G2210" s="7" t="s">
        <v>5672</v>
      </c>
      <c r="H2210" s="7" t="s">
        <v>6054</v>
      </c>
      <c r="I2210" s="9">
        <v>45309</v>
      </c>
    </row>
    <row r="2211" spans="1:9" x14ac:dyDescent="0.15">
      <c r="A2211" s="6">
        <v>2210</v>
      </c>
      <c r="B2211" s="7" t="s">
        <v>9</v>
      </c>
      <c r="C2211" s="8">
        <v>1883</v>
      </c>
      <c r="D2211" s="9">
        <v>45395</v>
      </c>
      <c r="E2211" s="13" t="str">
        <f>+HYPERLINK("http://trademark.i-assist.jp/data/china/image_1883th/76468009.pdf","76468009")</f>
        <v>76468009</v>
      </c>
      <c r="F2211" s="7" t="s">
        <v>6055</v>
      </c>
      <c r="G2211" s="7" t="s">
        <v>5917</v>
      </c>
      <c r="H2211" s="7" t="s">
        <v>6056</v>
      </c>
      <c r="I2211" s="9">
        <v>45309</v>
      </c>
    </row>
    <row r="2212" spans="1:9" x14ac:dyDescent="0.15">
      <c r="A2212" s="6">
        <v>2211</v>
      </c>
      <c r="B2212" s="7" t="s">
        <v>9</v>
      </c>
      <c r="C2212" s="8">
        <v>1883</v>
      </c>
      <c r="D2212" s="9">
        <v>45395</v>
      </c>
      <c r="E2212" s="13" t="str">
        <f>+HYPERLINK("http://trademark.i-assist.jp/data/china/image_1883th/76468025.pdf","76468025")</f>
        <v>76468025</v>
      </c>
      <c r="F2212" s="7" t="s">
        <v>6057</v>
      </c>
      <c r="G2212" s="7" t="s">
        <v>5980</v>
      </c>
      <c r="H2212" s="7" t="s">
        <v>6058</v>
      </c>
      <c r="I2212" s="9">
        <v>45309</v>
      </c>
    </row>
    <row r="2213" spans="1:9" x14ac:dyDescent="0.15">
      <c r="A2213" s="6">
        <v>2212</v>
      </c>
      <c r="B2213" s="7" t="s">
        <v>9</v>
      </c>
      <c r="C2213" s="8">
        <v>1883</v>
      </c>
      <c r="D2213" s="9">
        <v>45395</v>
      </c>
      <c r="E2213" s="13" t="str">
        <f>+HYPERLINK("http://trademark.i-assist.jp/data/china/image_1883th/76468245.pdf","76468245")</f>
        <v>76468245</v>
      </c>
      <c r="F2213" s="7" t="s">
        <v>6059</v>
      </c>
      <c r="G2213" s="7" t="s">
        <v>6060</v>
      </c>
      <c r="H2213" s="7" t="s">
        <v>6061</v>
      </c>
      <c r="I2213" s="9">
        <v>45310</v>
      </c>
    </row>
    <row r="2214" spans="1:9" x14ac:dyDescent="0.15">
      <c r="A2214" s="6">
        <v>2213</v>
      </c>
      <c r="B2214" s="7" t="s">
        <v>9</v>
      </c>
      <c r="C2214" s="8">
        <v>1883</v>
      </c>
      <c r="D2214" s="9">
        <v>45395</v>
      </c>
      <c r="E2214" s="13" t="str">
        <f>+HYPERLINK("http://trademark.i-assist.jp/data/china/image_1883th/76468252.pdf","76468252")</f>
        <v>76468252</v>
      </c>
      <c r="F2214" s="7" t="s">
        <v>6062</v>
      </c>
      <c r="G2214" s="7" t="s">
        <v>6063</v>
      </c>
      <c r="H2214" s="7" t="s">
        <v>6064</v>
      </c>
      <c r="I2214" s="9">
        <v>45310</v>
      </c>
    </row>
    <row r="2215" spans="1:9" x14ac:dyDescent="0.15">
      <c r="A2215" s="6">
        <v>2214</v>
      </c>
      <c r="B2215" s="7" t="s">
        <v>9</v>
      </c>
      <c r="C2215" s="8">
        <v>1883</v>
      </c>
      <c r="D2215" s="9">
        <v>45395</v>
      </c>
      <c r="E2215" s="13" t="str">
        <f>+HYPERLINK("http://trademark.i-assist.jp/data/china/image_1883th/76468305.pdf","76468305")</f>
        <v>76468305</v>
      </c>
      <c r="F2215" s="7" t="s">
        <v>6065</v>
      </c>
      <c r="G2215" s="7" t="s">
        <v>6066</v>
      </c>
      <c r="H2215" s="7" t="s">
        <v>6067</v>
      </c>
      <c r="I2215" s="9">
        <v>45310</v>
      </c>
    </row>
    <row r="2216" spans="1:9" x14ac:dyDescent="0.15">
      <c r="A2216" s="6">
        <v>2215</v>
      </c>
      <c r="B2216" s="7" t="s">
        <v>9</v>
      </c>
      <c r="C2216" s="8">
        <v>1883</v>
      </c>
      <c r="D2216" s="9">
        <v>45395</v>
      </c>
      <c r="E2216" s="13" t="str">
        <f>+HYPERLINK("http://trademark.i-assist.jp/data/china/image_1883th/76468344.pdf","76468344")</f>
        <v>76468344</v>
      </c>
      <c r="F2216" s="7" t="s">
        <v>6068</v>
      </c>
      <c r="G2216" s="7" t="s">
        <v>6069</v>
      </c>
      <c r="H2216" s="7" t="s">
        <v>6070</v>
      </c>
      <c r="I2216" s="9">
        <v>45310</v>
      </c>
    </row>
    <row r="2217" spans="1:9" x14ac:dyDescent="0.15">
      <c r="A2217" s="6">
        <v>2216</v>
      </c>
      <c r="B2217" s="7" t="s">
        <v>9</v>
      </c>
      <c r="C2217" s="8">
        <v>1883</v>
      </c>
      <c r="D2217" s="9">
        <v>45395</v>
      </c>
      <c r="E2217" s="13" t="str">
        <f>+HYPERLINK("http://trademark.i-assist.jp/data/china/image_1883th/76468356.pdf","76468356")</f>
        <v>76468356</v>
      </c>
      <c r="F2217" s="7" t="s">
        <v>6071</v>
      </c>
      <c r="G2217" s="7" t="s">
        <v>3376</v>
      </c>
      <c r="H2217" s="7" t="s">
        <v>6072</v>
      </c>
      <c r="I2217" s="9">
        <v>45310</v>
      </c>
    </row>
    <row r="2218" spans="1:9" x14ac:dyDescent="0.15">
      <c r="A2218" s="6">
        <v>2217</v>
      </c>
      <c r="B2218" s="7" t="s">
        <v>9</v>
      </c>
      <c r="C2218" s="8">
        <v>1883</v>
      </c>
      <c r="D2218" s="9">
        <v>45395</v>
      </c>
      <c r="E2218" s="13" t="str">
        <f>+HYPERLINK("http://trademark.i-assist.jp/data/china/image_1883th/76468367.pdf","76468367")</f>
        <v>76468367</v>
      </c>
      <c r="F2218" s="7" t="s">
        <v>6073</v>
      </c>
      <c r="G2218" s="7" t="s">
        <v>3376</v>
      </c>
      <c r="H2218" s="7" t="s">
        <v>6074</v>
      </c>
      <c r="I2218" s="9">
        <v>45310</v>
      </c>
    </row>
    <row r="2219" spans="1:9" x14ac:dyDescent="0.15">
      <c r="A2219" s="6">
        <v>2218</v>
      </c>
      <c r="B2219" s="7" t="s">
        <v>9</v>
      </c>
      <c r="C2219" s="8">
        <v>1883</v>
      </c>
      <c r="D2219" s="9">
        <v>45395</v>
      </c>
      <c r="E2219" s="13" t="str">
        <f>+HYPERLINK("http://trademark.i-assist.jp/data/china/image_1883th/76468386.pdf","76468386")</f>
        <v>76468386</v>
      </c>
      <c r="F2219" s="7" t="s">
        <v>6075</v>
      </c>
      <c r="G2219" s="7" t="s">
        <v>6076</v>
      </c>
      <c r="H2219" s="7" t="s">
        <v>6077</v>
      </c>
      <c r="I2219" s="9">
        <v>45310</v>
      </c>
    </row>
    <row r="2220" spans="1:9" x14ac:dyDescent="0.15">
      <c r="A2220" s="6">
        <v>2219</v>
      </c>
      <c r="B2220" s="7" t="s">
        <v>9</v>
      </c>
      <c r="C2220" s="8">
        <v>1883</v>
      </c>
      <c r="D2220" s="9">
        <v>45395</v>
      </c>
      <c r="E2220" s="13" t="str">
        <f>+HYPERLINK("http://trademark.i-assist.jp/data/china/image_1883th/76468466.pdf","76468466")</f>
        <v>76468466</v>
      </c>
      <c r="F2220" s="7" t="s">
        <v>6078</v>
      </c>
      <c r="G2220" s="7" t="s">
        <v>6079</v>
      </c>
      <c r="H2220" s="7" t="s">
        <v>6080</v>
      </c>
      <c r="I2220" s="9">
        <v>45310</v>
      </c>
    </row>
    <row r="2221" spans="1:9" x14ac:dyDescent="0.15">
      <c r="A2221" s="6">
        <v>2220</v>
      </c>
      <c r="B2221" s="7" t="s">
        <v>9</v>
      </c>
      <c r="C2221" s="8">
        <v>1883</v>
      </c>
      <c r="D2221" s="9">
        <v>45395</v>
      </c>
      <c r="E2221" s="13" t="str">
        <f>+HYPERLINK("http://trademark.i-assist.jp/data/china/image_1883th/76468499.pdf","76468499")</f>
        <v>76468499</v>
      </c>
      <c r="F2221" s="7" t="s">
        <v>6081</v>
      </c>
      <c r="G2221" s="7" t="s">
        <v>6082</v>
      </c>
      <c r="H2221" s="7" t="s">
        <v>6083</v>
      </c>
      <c r="I2221" s="9">
        <v>45310</v>
      </c>
    </row>
    <row r="2222" spans="1:9" x14ac:dyDescent="0.15">
      <c r="A2222" s="6">
        <v>2221</v>
      </c>
      <c r="B2222" s="7" t="s">
        <v>9</v>
      </c>
      <c r="C2222" s="8">
        <v>1883</v>
      </c>
      <c r="D2222" s="9">
        <v>45395</v>
      </c>
      <c r="E2222" s="13" t="str">
        <f>+HYPERLINK("http://trademark.i-assist.jp/data/china/image_1883th/76468708.pdf","76468708")</f>
        <v>76468708</v>
      </c>
      <c r="F2222" s="7" t="s">
        <v>57</v>
      </c>
      <c r="G2222" s="7" t="s">
        <v>6084</v>
      </c>
      <c r="H2222" s="7" t="s">
        <v>6085</v>
      </c>
      <c r="I2222" s="9">
        <v>45309</v>
      </c>
    </row>
    <row r="2223" spans="1:9" ht="27" x14ac:dyDescent="0.15">
      <c r="A2223" s="6">
        <v>2222</v>
      </c>
      <c r="B2223" s="7" t="s">
        <v>9</v>
      </c>
      <c r="C2223" s="8">
        <v>1883</v>
      </c>
      <c r="D2223" s="9">
        <v>45395</v>
      </c>
      <c r="E2223" s="13" t="str">
        <f>+HYPERLINK("http://trademark.i-assist.jp/data/china/image_1883th/76468908.pdf","76468908")</f>
        <v>76468908</v>
      </c>
      <c r="F2223" s="7" t="s">
        <v>57</v>
      </c>
      <c r="G2223" s="7" t="s">
        <v>6086</v>
      </c>
      <c r="H2223" s="7" t="s">
        <v>6087</v>
      </c>
      <c r="I2223" s="9">
        <v>45309</v>
      </c>
    </row>
    <row r="2224" spans="1:9" x14ac:dyDescent="0.15">
      <c r="A2224" s="6">
        <v>2223</v>
      </c>
      <c r="B2224" s="7" t="s">
        <v>9</v>
      </c>
      <c r="C2224" s="8">
        <v>1883</v>
      </c>
      <c r="D2224" s="9">
        <v>45395</v>
      </c>
      <c r="E2224" s="13" t="str">
        <f>+HYPERLINK("http://trademark.i-assist.jp/data/china/image_1883th/76468995.pdf","76468995")</f>
        <v>76468995</v>
      </c>
      <c r="F2224" s="7" t="s">
        <v>6088</v>
      </c>
      <c r="G2224" s="7" t="s">
        <v>6089</v>
      </c>
      <c r="H2224" s="7" t="s">
        <v>6090</v>
      </c>
      <c r="I2224" s="9">
        <v>45309</v>
      </c>
    </row>
    <row r="2225" spans="1:9" x14ac:dyDescent="0.15">
      <c r="A2225" s="6">
        <v>2224</v>
      </c>
      <c r="B2225" s="7" t="s">
        <v>9</v>
      </c>
      <c r="C2225" s="8">
        <v>1883</v>
      </c>
      <c r="D2225" s="9">
        <v>45395</v>
      </c>
      <c r="E2225" s="13" t="str">
        <f>+HYPERLINK("http://trademark.i-assist.jp/data/china/image_1883th/76469111.pdf","76469111")</f>
        <v>76469111</v>
      </c>
      <c r="F2225" s="7" t="s">
        <v>6091</v>
      </c>
      <c r="G2225" s="7" t="s">
        <v>6092</v>
      </c>
      <c r="H2225" s="7" t="s">
        <v>6093</v>
      </c>
      <c r="I2225" s="9">
        <v>45309</v>
      </c>
    </row>
    <row r="2226" spans="1:9" x14ac:dyDescent="0.15">
      <c r="A2226" s="6">
        <v>2225</v>
      </c>
      <c r="B2226" s="7" t="s">
        <v>9</v>
      </c>
      <c r="C2226" s="8">
        <v>1883</v>
      </c>
      <c r="D2226" s="9">
        <v>45395</v>
      </c>
      <c r="E2226" s="13" t="str">
        <f>+HYPERLINK("http://trademark.i-assist.jp/data/china/image_1883th/76469404.pdf","76469404")</f>
        <v>76469404</v>
      </c>
      <c r="F2226" s="7" t="s">
        <v>6094</v>
      </c>
      <c r="G2226" s="7" t="s">
        <v>6095</v>
      </c>
      <c r="H2226" s="7" t="s">
        <v>6096</v>
      </c>
      <c r="I2226" s="9">
        <v>45309</v>
      </c>
    </row>
    <row r="2227" spans="1:9" x14ac:dyDescent="0.15">
      <c r="A2227" s="6">
        <v>2226</v>
      </c>
      <c r="B2227" s="7" t="s">
        <v>9</v>
      </c>
      <c r="C2227" s="8">
        <v>1883</v>
      </c>
      <c r="D2227" s="9">
        <v>45395</v>
      </c>
      <c r="E2227" s="13" t="str">
        <f>+HYPERLINK("http://trademark.i-assist.jp/data/china/image_1883th/76469422.pdf","76469422")</f>
        <v>76469422</v>
      </c>
      <c r="F2227" s="7" t="s">
        <v>6097</v>
      </c>
      <c r="G2227" s="7" t="s">
        <v>3624</v>
      </c>
      <c r="H2227" s="7" t="s">
        <v>6098</v>
      </c>
      <c r="I2227" s="9">
        <v>45309</v>
      </c>
    </row>
    <row r="2228" spans="1:9" ht="27" x14ac:dyDescent="0.15">
      <c r="A2228" s="6">
        <v>2227</v>
      </c>
      <c r="B2228" s="7" t="s">
        <v>9</v>
      </c>
      <c r="C2228" s="8">
        <v>1883</v>
      </c>
      <c r="D2228" s="9">
        <v>45395</v>
      </c>
      <c r="E2228" s="13" t="str">
        <f>+HYPERLINK("http://trademark.i-assist.jp/data/china/image_1883th/76470041.pdf","76470041")</f>
        <v>76470041</v>
      </c>
      <c r="F2228" s="7" t="s">
        <v>57</v>
      </c>
      <c r="G2228" s="7" t="s">
        <v>6099</v>
      </c>
      <c r="H2228" s="7" t="s">
        <v>6100</v>
      </c>
      <c r="I2228" s="9">
        <v>45309</v>
      </c>
    </row>
    <row r="2229" spans="1:9" x14ac:dyDescent="0.15">
      <c r="A2229" s="6">
        <v>2228</v>
      </c>
      <c r="B2229" s="7" t="s">
        <v>9</v>
      </c>
      <c r="C2229" s="8">
        <v>1883</v>
      </c>
      <c r="D2229" s="9">
        <v>45395</v>
      </c>
      <c r="E2229" s="13" t="str">
        <f>+HYPERLINK("http://trademark.i-assist.jp/data/china/image_1883th/76470069.pdf","76470069")</f>
        <v>76470069</v>
      </c>
      <c r="F2229" s="7" t="s">
        <v>57</v>
      </c>
      <c r="G2229" s="7" t="s">
        <v>6101</v>
      </c>
      <c r="H2229" s="7" t="s">
        <v>6102</v>
      </c>
      <c r="I2229" s="9">
        <v>45309</v>
      </c>
    </row>
    <row r="2230" spans="1:9" x14ac:dyDescent="0.15">
      <c r="A2230" s="6">
        <v>2229</v>
      </c>
      <c r="B2230" s="7" t="s">
        <v>9</v>
      </c>
      <c r="C2230" s="8">
        <v>1883</v>
      </c>
      <c r="D2230" s="9">
        <v>45395</v>
      </c>
      <c r="E2230" s="13" t="str">
        <f>+HYPERLINK("http://trademark.i-assist.jp/data/china/image_1883th/76470126.pdf","76470126")</f>
        <v>76470126</v>
      </c>
      <c r="F2230" s="7" t="s">
        <v>6103</v>
      </c>
      <c r="G2230" s="7" t="s">
        <v>6104</v>
      </c>
      <c r="H2230" s="7" t="s">
        <v>6105</v>
      </c>
      <c r="I2230" s="9">
        <v>45310</v>
      </c>
    </row>
    <row r="2231" spans="1:9" x14ac:dyDescent="0.15">
      <c r="A2231" s="6">
        <v>2230</v>
      </c>
      <c r="B2231" s="7" t="s">
        <v>9</v>
      </c>
      <c r="C2231" s="8">
        <v>1883</v>
      </c>
      <c r="D2231" s="9">
        <v>45395</v>
      </c>
      <c r="E2231" s="13" t="str">
        <f>+HYPERLINK("http://trademark.i-assist.jp/data/china/image_1883th/76470289.pdf","76470289")</f>
        <v>76470289</v>
      </c>
      <c r="F2231" s="7" t="s">
        <v>6106</v>
      </c>
      <c r="G2231" s="7" t="s">
        <v>6107</v>
      </c>
      <c r="H2231" s="7" t="s">
        <v>6108</v>
      </c>
      <c r="I2231" s="9">
        <v>45310</v>
      </c>
    </row>
    <row r="2232" spans="1:9" ht="27" x14ac:dyDescent="0.15">
      <c r="A2232" s="6">
        <v>2231</v>
      </c>
      <c r="B2232" s="7" t="s">
        <v>9</v>
      </c>
      <c r="C2232" s="8">
        <v>1883</v>
      </c>
      <c r="D2232" s="9">
        <v>45395</v>
      </c>
      <c r="E2232" s="13" t="str">
        <f>+HYPERLINK("http://trademark.i-assist.jp/data/china/image_1883th/76470330.pdf","76470330")</f>
        <v>76470330</v>
      </c>
      <c r="F2232" s="7" t="s">
        <v>6109</v>
      </c>
      <c r="G2232" s="7" t="s">
        <v>6110</v>
      </c>
      <c r="H2232" s="7" t="s">
        <v>6111</v>
      </c>
      <c r="I2232" s="9">
        <v>45310</v>
      </c>
    </row>
    <row r="2233" spans="1:9" x14ac:dyDescent="0.15">
      <c r="A2233" s="6">
        <v>2232</v>
      </c>
      <c r="B2233" s="7" t="s">
        <v>9</v>
      </c>
      <c r="C2233" s="8">
        <v>1883</v>
      </c>
      <c r="D2233" s="9">
        <v>45395</v>
      </c>
      <c r="E2233" s="13" t="str">
        <f>+HYPERLINK("http://trademark.i-assist.jp/data/china/image_1883th/76470417.pdf","76470417")</f>
        <v>76470417</v>
      </c>
      <c r="F2233" s="7" t="s">
        <v>6112</v>
      </c>
      <c r="G2233" s="7" t="s">
        <v>6113</v>
      </c>
      <c r="H2233" s="7" t="s">
        <v>6114</v>
      </c>
      <c r="I2233" s="9">
        <v>45310</v>
      </c>
    </row>
    <row r="2234" spans="1:9" ht="27" x14ac:dyDescent="0.15">
      <c r="A2234" s="6">
        <v>2233</v>
      </c>
      <c r="B2234" s="7" t="s">
        <v>9</v>
      </c>
      <c r="C2234" s="8">
        <v>1883</v>
      </c>
      <c r="D2234" s="9">
        <v>45395</v>
      </c>
      <c r="E2234" s="13" t="str">
        <f>+HYPERLINK("http://trademark.i-assist.jp/data/china/image_1883th/76470661.pdf","76470661")</f>
        <v>76470661</v>
      </c>
      <c r="F2234" s="7" t="s">
        <v>6115</v>
      </c>
      <c r="G2234" s="7" t="s">
        <v>6116</v>
      </c>
      <c r="H2234" s="7" t="s">
        <v>6117</v>
      </c>
      <c r="I2234" s="9">
        <v>45309</v>
      </c>
    </row>
    <row r="2235" spans="1:9" x14ac:dyDescent="0.15">
      <c r="A2235" s="6">
        <v>2234</v>
      </c>
      <c r="B2235" s="7" t="s">
        <v>9</v>
      </c>
      <c r="C2235" s="8">
        <v>1883</v>
      </c>
      <c r="D2235" s="9">
        <v>45395</v>
      </c>
      <c r="E2235" s="13" t="str">
        <f>+HYPERLINK("http://trademark.i-assist.jp/data/china/image_1883th/76470735.pdf","76470735")</f>
        <v>76470735</v>
      </c>
      <c r="F2235" s="7" t="s">
        <v>6118</v>
      </c>
      <c r="G2235" s="7" t="s">
        <v>6119</v>
      </c>
      <c r="H2235" s="7" t="s">
        <v>6120</v>
      </c>
      <c r="I2235" s="9">
        <v>45309</v>
      </c>
    </row>
    <row r="2236" spans="1:9" ht="27" x14ac:dyDescent="0.15">
      <c r="A2236" s="6">
        <v>2235</v>
      </c>
      <c r="B2236" s="7" t="s">
        <v>9</v>
      </c>
      <c r="C2236" s="8">
        <v>1883</v>
      </c>
      <c r="D2236" s="9">
        <v>45395</v>
      </c>
      <c r="E2236" s="13" t="str">
        <f>+HYPERLINK("http://trademark.i-assist.jp/data/china/image_1883th/76470819.pdf","76470819")</f>
        <v>76470819</v>
      </c>
      <c r="F2236" s="7" t="s">
        <v>6121</v>
      </c>
      <c r="G2236" s="7" t="s">
        <v>6122</v>
      </c>
      <c r="H2236" s="7" t="s">
        <v>6123</v>
      </c>
      <c r="I2236" s="9">
        <v>45310</v>
      </c>
    </row>
    <row r="2237" spans="1:9" x14ac:dyDescent="0.15">
      <c r="A2237" s="6">
        <v>2236</v>
      </c>
      <c r="B2237" s="7" t="s">
        <v>9</v>
      </c>
      <c r="C2237" s="8">
        <v>1883</v>
      </c>
      <c r="D2237" s="9">
        <v>45395</v>
      </c>
      <c r="E2237" s="13" t="str">
        <f>+HYPERLINK("http://trademark.i-assist.jp/data/china/image_1883th/76470983.pdf","76470983")</f>
        <v>76470983</v>
      </c>
      <c r="F2237" s="7" t="s">
        <v>6124</v>
      </c>
      <c r="G2237" s="7" t="s">
        <v>5672</v>
      </c>
      <c r="H2237" s="7" t="s">
        <v>6125</v>
      </c>
      <c r="I2237" s="9">
        <v>45309</v>
      </c>
    </row>
    <row r="2238" spans="1:9" x14ac:dyDescent="0.15">
      <c r="A2238" s="6">
        <v>2237</v>
      </c>
      <c r="B2238" s="7" t="s">
        <v>9</v>
      </c>
      <c r="C2238" s="8">
        <v>1883</v>
      </c>
      <c r="D2238" s="9">
        <v>45395</v>
      </c>
      <c r="E2238" s="13" t="str">
        <f>+HYPERLINK("http://trademark.i-assist.jp/data/china/image_1883th/76471090.pdf","76471090")</f>
        <v>76471090</v>
      </c>
      <c r="F2238" s="7" t="s">
        <v>6126</v>
      </c>
      <c r="G2238" s="7" t="s">
        <v>6127</v>
      </c>
      <c r="H2238" s="7" t="s">
        <v>6128</v>
      </c>
      <c r="I2238" s="9">
        <v>45309</v>
      </c>
    </row>
    <row r="2239" spans="1:9" x14ac:dyDescent="0.15">
      <c r="A2239" s="6">
        <v>2238</v>
      </c>
      <c r="B2239" s="7" t="s">
        <v>9</v>
      </c>
      <c r="C2239" s="8">
        <v>1883</v>
      </c>
      <c r="D2239" s="9">
        <v>45395</v>
      </c>
      <c r="E2239" s="13" t="str">
        <f>+HYPERLINK("http://trademark.i-assist.jp/data/china/image_1883th/76471225.pdf","76471225")</f>
        <v>76471225</v>
      </c>
      <c r="F2239" s="7" t="s">
        <v>57</v>
      </c>
      <c r="G2239" s="7" t="s">
        <v>6129</v>
      </c>
      <c r="H2239" s="7" t="s">
        <v>6130</v>
      </c>
      <c r="I2239" s="9">
        <v>45310</v>
      </c>
    </row>
    <row r="2240" spans="1:9" x14ac:dyDescent="0.15">
      <c r="A2240" s="6">
        <v>2239</v>
      </c>
      <c r="B2240" s="7" t="s">
        <v>9</v>
      </c>
      <c r="C2240" s="8">
        <v>1883</v>
      </c>
      <c r="D2240" s="9">
        <v>45395</v>
      </c>
      <c r="E2240" s="13" t="str">
        <f>+HYPERLINK("http://trademark.i-assist.jp/data/china/image_1883th/76471397.pdf","76471397")</f>
        <v>76471397</v>
      </c>
      <c r="F2240" s="7" t="s">
        <v>6131</v>
      </c>
      <c r="G2240" s="7" t="s">
        <v>6032</v>
      </c>
      <c r="H2240" s="7" t="s">
        <v>6132</v>
      </c>
      <c r="I2240" s="9">
        <v>45309</v>
      </c>
    </row>
    <row r="2241" spans="1:9" x14ac:dyDescent="0.15">
      <c r="A2241" s="6">
        <v>2240</v>
      </c>
      <c r="B2241" s="7" t="s">
        <v>9</v>
      </c>
      <c r="C2241" s="8">
        <v>1883</v>
      </c>
      <c r="D2241" s="9">
        <v>45395</v>
      </c>
      <c r="E2241" s="13" t="str">
        <f>+HYPERLINK("http://trademark.i-assist.jp/data/china/image_1883th/76471478.pdf","76471478")</f>
        <v>76471478</v>
      </c>
      <c r="F2241" s="7" t="s">
        <v>6133</v>
      </c>
      <c r="G2241" s="7" t="s">
        <v>3903</v>
      </c>
      <c r="H2241" s="7" t="s">
        <v>6134</v>
      </c>
      <c r="I2241" s="9">
        <v>45309</v>
      </c>
    </row>
    <row r="2242" spans="1:9" x14ac:dyDescent="0.15">
      <c r="A2242" s="6">
        <v>2241</v>
      </c>
      <c r="B2242" s="7" t="s">
        <v>9</v>
      </c>
      <c r="C2242" s="8">
        <v>1883</v>
      </c>
      <c r="D2242" s="9">
        <v>45395</v>
      </c>
      <c r="E2242" s="13" t="str">
        <f>+HYPERLINK("http://trademark.i-assist.jp/data/china/image_1883th/76471634.pdf","76471634")</f>
        <v>76471634</v>
      </c>
      <c r="F2242" s="7" t="s">
        <v>6135</v>
      </c>
      <c r="G2242" s="7" t="s">
        <v>5791</v>
      </c>
      <c r="H2242" s="7" t="s">
        <v>6136</v>
      </c>
      <c r="I2242" s="9">
        <v>45310</v>
      </c>
    </row>
    <row r="2243" spans="1:9" x14ac:dyDescent="0.15">
      <c r="A2243" s="6">
        <v>2242</v>
      </c>
      <c r="B2243" s="7" t="s">
        <v>9</v>
      </c>
      <c r="C2243" s="8">
        <v>1883</v>
      </c>
      <c r="D2243" s="9">
        <v>45395</v>
      </c>
      <c r="E2243" s="13" t="str">
        <f>+HYPERLINK("http://trademark.i-assist.jp/data/china/image_1883th/76471839.pdf","76471839")</f>
        <v>76471839</v>
      </c>
      <c r="F2243" s="7" t="s">
        <v>6137</v>
      </c>
      <c r="G2243" s="7" t="s">
        <v>6138</v>
      </c>
      <c r="H2243" s="7" t="s">
        <v>6139</v>
      </c>
      <c r="I2243" s="9">
        <v>45309</v>
      </c>
    </row>
    <row r="2244" spans="1:9" x14ac:dyDescent="0.15">
      <c r="A2244" s="6">
        <v>2243</v>
      </c>
      <c r="B2244" s="7" t="s">
        <v>9</v>
      </c>
      <c r="C2244" s="8">
        <v>1883</v>
      </c>
      <c r="D2244" s="9">
        <v>45395</v>
      </c>
      <c r="E2244" s="13" t="str">
        <f>+HYPERLINK("http://trademark.i-assist.jp/data/china/image_1883th/76471954.pdf","76471954")</f>
        <v>76471954</v>
      </c>
      <c r="F2244" s="7" t="s">
        <v>6140</v>
      </c>
      <c r="G2244" s="7" t="s">
        <v>6141</v>
      </c>
      <c r="H2244" s="7" t="s">
        <v>6142</v>
      </c>
      <c r="I2244" s="9">
        <v>45310</v>
      </c>
    </row>
    <row r="2245" spans="1:9" ht="27" x14ac:dyDescent="0.15">
      <c r="A2245" s="6">
        <v>2244</v>
      </c>
      <c r="B2245" s="7" t="s">
        <v>9</v>
      </c>
      <c r="C2245" s="8">
        <v>1883</v>
      </c>
      <c r="D2245" s="9">
        <v>45395</v>
      </c>
      <c r="E2245" s="13" t="str">
        <f>+HYPERLINK("http://trademark.i-assist.jp/data/china/image_1883th/76471973.pdf","76471973")</f>
        <v>76471973</v>
      </c>
      <c r="F2245" s="7" t="s">
        <v>6143</v>
      </c>
      <c r="G2245" s="7" t="s">
        <v>6144</v>
      </c>
      <c r="H2245" s="7" t="s">
        <v>6145</v>
      </c>
      <c r="I2245" s="9">
        <v>45310</v>
      </c>
    </row>
    <row r="2246" spans="1:9" x14ac:dyDescent="0.15">
      <c r="A2246" s="6">
        <v>2245</v>
      </c>
      <c r="B2246" s="7" t="s">
        <v>9</v>
      </c>
      <c r="C2246" s="8">
        <v>1883</v>
      </c>
      <c r="D2246" s="9">
        <v>45395</v>
      </c>
      <c r="E2246" s="13" t="str">
        <f>+HYPERLINK("http://trademark.i-assist.jp/data/china/image_1883th/76472010.pdf","76472010")</f>
        <v>76472010</v>
      </c>
      <c r="F2246" s="7" t="s">
        <v>6146</v>
      </c>
      <c r="G2246" s="7" t="s">
        <v>5600</v>
      </c>
      <c r="H2246" s="7" t="s">
        <v>6147</v>
      </c>
      <c r="I2246" s="9">
        <v>45310</v>
      </c>
    </row>
    <row r="2247" spans="1:9" ht="27" x14ac:dyDescent="0.15">
      <c r="A2247" s="6">
        <v>2246</v>
      </c>
      <c r="B2247" s="7" t="s">
        <v>9</v>
      </c>
      <c r="C2247" s="8">
        <v>1883</v>
      </c>
      <c r="D2247" s="9">
        <v>45395</v>
      </c>
      <c r="E2247" s="13" t="str">
        <f>+HYPERLINK("http://trademark.i-assist.jp/data/china/image_1883th/76472357.pdf","76472357")</f>
        <v>76472357</v>
      </c>
      <c r="F2247" s="7" t="s">
        <v>6148</v>
      </c>
      <c r="G2247" s="7" t="s">
        <v>6149</v>
      </c>
      <c r="H2247" s="7" t="s">
        <v>6150</v>
      </c>
      <c r="I2247" s="9">
        <v>45309</v>
      </c>
    </row>
    <row r="2248" spans="1:9" x14ac:dyDescent="0.15">
      <c r="A2248" s="6">
        <v>2247</v>
      </c>
      <c r="B2248" s="7" t="s">
        <v>9</v>
      </c>
      <c r="C2248" s="8">
        <v>1883</v>
      </c>
      <c r="D2248" s="9">
        <v>45395</v>
      </c>
      <c r="E2248" s="13" t="str">
        <f>+HYPERLINK("http://trademark.i-assist.jp/data/china/image_1883th/76472439.pdf","76472439")</f>
        <v>76472439</v>
      </c>
      <c r="F2248" s="7" t="s">
        <v>6151</v>
      </c>
      <c r="G2248" s="7" t="s">
        <v>6152</v>
      </c>
      <c r="H2248" s="7" t="s">
        <v>6153</v>
      </c>
      <c r="I2248" s="9">
        <v>45310</v>
      </c>
    </row>
    <row r="2249" spans="1:9" x14ac:dyDescent="0.15">
      <c r="A2249" s="6">
        <v>2248</v>
      </c>
      <c r="B2249" s="7" t="s">
        <v>9</v>
      </c>
      <c r="C2249" s="8">
        <v>1883</v>
      </c>
      <c r="D2249" s="9">
        <v>45395</v>
      </c>
      <c r="E2249" s="13" t="str">
        <f>+HYPERLINK("http://trademark.i-assist.jp/data/china/image_1883th/76472574.pdf","76472574")</f>
        <v>76472574</v>
      </c>
      <c r="F2249" s="7" t="s">
        <v>6154</v>
      </c>
      <c r="G2249" s="7" t="s">
        <v>6155</v>
      </c>
      <c r="H2249" s="7" t="s">
        <v>6156</v>
      </c>
      <c r="I2249" s="9">
        <v>45309</v>
      </c>
    </row>
    <row r="2250" spans="1:9" x14ac:dyDescent="0.15">
      <c r="A2250" s="6">
        <v>2249</v>
      </c>
      <c r="B2250" s="7" t="s">
        <v>9</v>
      </c>
      <c r="C2250" s="8">
        <v>1883</v>
      </c>
      <c r="D2250" s="9">
        <v>45395</v>
      </c>
      <c r="E2250" s="13" t="str">
        <f>+HYPERLINK("http://trademark.i-assist.jp/data/china/image_1883th/76473147.pdf","76473147")</f>
        <v>76473147</v>
      </c>
      <c r="F2250" s="7" t="s">
        <v>6157</v>
      </c>
      <c r="G2250" s="7" t="s">
        <v>6158</v>
      </c>
      <c r="H2250" s="7" t="s">
        <v>6159</v>
      </c>
      <c r="I2250" s="9">
        <v>45310</v>
      </c>
    </row>
    <row r="2251" spans="1:9" x14ac:dyDescent="0.15">
      <c r="A2251" s="6">
        <v>2250</v>
      </c>
      <c r="B2251" s="7" t="s">
        <v>9</v>
      </c>
      <c r="C2251" s="8">
        <v>1883</v>
      </c>
      <c r="D2251" s="9">
        <v>45395</v>
      </c>
      <c r="E2251" s="13" t="str">
        <f>+HYPERLINK("http://trademark.i-assist.jp/data/china/image_1883th/76473414.pdf","76473414")</f>
        <v>76473414</v>
      </c>
      <c r="F2251" s="7" t="s">
        <v>6160</v>
      </c>
      <c r="G2251" s="7" t="s">
        <v>6161</v>
      </c>
      <c r="H2251" s="7" t="s">
        <v>6162</v>
      </c>
      <c r="I2251" s="9">
        <v>45309</v>
      </c>
    </row>
    <row r="2252" spans="1:9" x14ac:dyDescent="0.15">
      <c r="A2252" s="6">
        <v>2251</v>
      </c>
      <c r="B2252" s="7" t="s">
        <v>9</v>
      </c>
      <c r="C2252" s="8">
        <v>1883</v>
      </c>
      <c r="D2252" s="9">
        <v>45395</v>
      </c>
      <c r="E2252" s="13" t="str">
        <f>+HYPERLINK("http://trademark.i-assist.jp/data/china/image_1883th/76473434.pdf","76473434")</f>
        <v>76473434</v>
      </c>
      <c r="F2252" s="7" t="s">
        <v>6163</v>
      </c>
      <c r="G2252" s="7" t="s">
        <v>6164</v>
      </c>
      <c r="H2252" s="7" t="s">
        <v>6165</v>
      </c>
      <c r="I2252" s="9">
        <v>45309</v>
      </c>
    </row>
    <row r="2253" spans="1:9" x14ac:dyDescent="0.15">
      <c r="A2253" s="6">
        <v>2252</v>
      </c>
      <c r="B2253" s="7" t="s">
        <v>9</v>
      </c>
      <c r="C2253" s="8">
        <v>1883</v>
      </c>
      <c r="D2253" s="9">
        <v>45395</v>
      </c>
      <c r="E2253" s="13" t="str">
        <f>+HYPERLINK("http://trademark.i-assist.jp/data/china/image_1883th/76473608.pdf","76473608")</f>
        <v>76473608</v>
      </c>
      <c r="F2253" s="7" t="s">
        <v>6166</v>
      </c>
      <c r="G2253" s="7" t="s">
        <v>6167</v>
      </c>
      <c r="H2253" s="7" t="s">
        <v>6168</v>
      </c>
      <c r="I2253" s="9">
        <v>45309</v>
      </c>
    </row>
    <row r="2254" spans="1:9" x14ac:dyDescent="0.15">
      <c r="A2254" s="6">
        <v>2253</v>
      </c>
      <c r="B2254" s="7" t="s">
        <v>9</v>
      </c>
      <c r="C2254" s="8">
        <v>1883</v>
      </c>
      <c r="D2254" s="9">
        <v>45395</v>
      </c>
      <c r="E2254" s="13" t="str">
        <f>+HYPERLINK("http://trademark.i-assist.jp/data/china/image_1883th/76473756.pdf","76473756")</f>
        <v>76473756</v>
      </c>
      <c r="F2254" s="7" t="s">
        <v>6169</v>
      </c>
      <c r="G2254" s="7" t="s">
        <v>6170</v>
      </c>
      <c r="H2254" s="7" t="s">
        <v>6171</v>
      </c>
      <c r="I2254" s="9">
        <v>45309</v>
      </c>
    </row>
    <row r="2255" spans="1:9" x14ac:dyDescent="0.15">
      <c r="A2255" s="6">
        <v>2254</v>
      </c>
      <c r="B2255" s="7" t="s">
        <v>9</v>
      </c>
      <c r="C2255" s="8">
        <v>1883</v>
      </c>
      <c r="D2255" s="9">
        <v>45395</v>
      </c>
      <c r="E2255" s="13" t="str">
        <f>+HYPERLINK("http://trademark.i-assist.jp/data/china/image_1883th/76474147.pdf","76474147")</f>
        <v>76474147</v>
      </c>
      <c r="F2255" s="7" t="s">
        <v>6172</v>
      </c>
      <c r="G2255" s="7" t="s">
        <v>3376</v>
      </c>
      <c r="H2255" s="7" t="s">
        <v>6173</v>
      </c>
      <c r="I2255" s="9">
        <v>45310</v>
      </c>
    </row>
    <row r="2256" spans="1:9" x14ac:dyDescent="0.15">
      <c r="A2256" s="6">
        <v>2255</v>
      </c>
      <c r="B2256" s="7" t="s">
        <v>9</v>
      </c>
      <c r="C2256" s="8">
        <v>1883</v>
      </c>
      <c r="D2256" s="9">
        <v>45395</v>
      </c>
      <c r="E2256" s="13" t="str">
        <f>+HYPERLINK("http://trademark.i-assist.jp/data/china/image_1883th/76474219.pdf","76474219")</f>
        <v>76474219</v>
      </c>
      <c r="F2256" s="7" t="s">
        <v>6174</v>
      </c>
      <c r="G2256" s="7" t="s">
        <v>6175</v>
      </c>
      <c r="H2256" s="7" t="s">
        <v>6176</v>
      </c>
      <c r="I2256" s="9">
        <v>45310</v>
      </c>
    </row>
    <row r="2257" spans="1:9" x14ac:dyDescent="0.15">
      <c r="A2257" s="6">
        <v>2256</v>
      </c>
      <c r="B2257" s="7" t="s">
        <v>9</v>
      </c>
      <c r="C2257" s="8">
        <v>1883</v>
      </c>
      <c r="D2257" s="9">
        <v>45395</v>
      </c>
      <c r="E2257" s="13" t="str">
        <f>+HYPERLINK("http://trademark.i-assist.jp/data/china/image_1883th/76474384.pdf","76474384")</f>
        <v>76474384</v>
      </c>
      <c r="F2257" s="7" t="s">
        <v>6177</v>
      </c>
      <c r="G2257" s="7" t="s">
        <v>6178</v>
      </c>
      <c r="H2257" s="7" t="s">
        <v>6179</v>
      </c>
      <c r="I2257" s="9">
        <v>45309</v>
      </c>
    </row>
    <row r="2258" spans="1:9" ht="27" x14ac:dyDescent="0.15">
      <c r="A2258" s="6">
        <v>2257</v>
      </c>
      <c r="B2258" s="7" t="s">
        <v>9</v>
      </c>
      <c r="C2258" s="8">
        <v>1883</v>
      </c>
      <c r="D2258" s="9">
        <v>45395</v>
      </c>
      <c r="E2258" s="13" t="str">
        <f>+HYPERLINK("http://trademark.i-assist.jp/data/china/image_1883th/76474435.pdf","76474435")</f>
        <v>76474435</v>
      </c>
      <c r="F2258" s="7" t="s">
        <v>6180</v>
      </c>
      <c r="G2258" s="7" t="s">
        <v>6181</v>
      </c>
      <c r="H2258" s="7" t="s">
        <v>6182</v>
      </c>
      <c r="I2258" s="9">
        <v>45309</v>
      </c>
    </row>
    <row r="2259" spans="1:9" x14ac:dyDescent="0.15">
      <c r="A2259" s="6">
        <v>2258</v>
      </c>
      <c r="B2259" s="7" t="s">
        <v>9</v>
      </c>
      <c r="C2259" s="8">
        <v>1883</v>
      </c>
      <c r="D2259" s="9">
        <v>45395</v>
      </c>
      <c r="E2259" s="13" t="str">
        <f>+HYPERLINK("http://trademark.i-assist.jp/data/china/image_1883th/76474546.pdf","76474546")</f>
        <v>76474546</v>
      </c>
      <c r="F2259" s="7" t="s">
        <v>6183</v>
      </c>
      <c r="G2259" s="7" t="s">
        <v>6184</v>
      </c>
      <c r="H2259" s="7" t="s">
        <v>6185</v>
      </c>
      <c r="I2259" s="9">
        <v>45310</v>
      </c>
    </row>
    <row r="2260" spans="1:9" x14ac:dyDescent="0.15">
      <c r="A2260" s="6">
        <v>2259</v>
      </c>
      <c r="B2260" s="7" t="s">
        <v>9</v>
      </c>
      <c r="C2260" s="8">
        <v>1883</v>
      </c>
      <c r="D2260" s="9">
        <v>45395</v>
      </c>
      <c r="E2260" s="13" t="str">
        <f>+HYPERLINK("http://trademark.i-assist.jp/data/china/image_1883th/76474798.pdf","76474798")</f>
        <v>76474798</v>
      </c>
      <c r="F2260" s="7" t="s">
        <v>6186</v>
      </c>
      <c r="G2260" s="7" t="s">
        <v>1800</v>
      </c>
      <c r="H2260" s="7" t="s">
        <v>6187</v>
      </c>
      <c r="I2260" s="9">
        <v>45309</v>
      </c>
    </row>
    <row r="2261" spans="1:9" x14ac:dyDescent="0.15">
      <c r="A2261" s="6">
        <v>2260</v>
      </c>
      <c r="B2261" s="7" t="s">
        <v>9</v>
      </c>
      <c r="C2261" s="8">
        <v>1883</v>
      </c>
      <c r="D2261" s="9">
        <v>45395</v>
      </c>
      <c r="E2261" s="13" t="str">
        <f>+HYPERLINK("http://trademark.i-assist.jp/data/china/image_1883th/76474902.pdf","76474902")</f>
        <v>76474902</v>
      </c>
      <c r="F2261" s="7" t="s">
        <v>6188</v>
      </c>
      <c r="G2261" s="7" t="s">
        <v>6189</v>
      </c>
      <c r="H2261" s="7" t="s">
        <v>6190</v>
      </c>
      <c r="I2261" s="9">
        <v>45310</v>
      </c>
    </row>
    <row r="2262" spans="1:9" x14ac:dyDescent="0.15">
      <c r="A2262" s="6">
        <v>2261</v>
      </c>
      <c r="B2262" s="7" t="s">
        <v>9</v>
      </c>
      <c r="C2262" s="8">
        <v>1883</v>
      </c>
      <c r="D2262" s="9">
        <v>45395</v>
      </c>
      <c r="E2262" s="13" t="str">
        <f>+HYPERLINK("http://trademark.i-assist.jp/data/china/image_1883th/76475018.pdf","76475018")</f>
        <v>76475018</v>
      </c>
      <c r="F2262" s="7" t="s">
        <v>6191</v>
      </c>
      <c r="G2262" s="7" t="s">
        <v>6192</v>
      </c>
      <c r="H2262" s="7" t="s">
        <v>6193</v>
      </c>
      <c r="I2262" s="9">
        <v>45310</v>
      </c>
    </row>
    <row r="2263" spans="1:9" ht="27" x14ac:dyDescent="0.15">
      <c r="A2263" s="6">
        <v>2262</v>
      </c>
      <c r="B2263" s="7" t="s">
        <v>9</v>
      </c>
      <c r="C2263" s="8">
        <v>1883</v>
      </c>
      <c r="D2263" s="9">
        <v>45395</v>
      </c>
      <c r="E2263" s="13" t="str">
        <f>+HYPERLINK("http://trademark.i-assist.jp/data/china/image_1883th/76475108.pdf","76475108")</f>
        <v>76475108</v>
      </c>
      <c r="F2263" s="7" t="s">
        <v>6194</v>
      </c>
      <c r="G2263" s="7" t="s">
        <v>6195</v>
      </c>
      <c r="H2263" s="7" t="s">
        <v>6196</v>
      </c>
      <c r="I2263" s="9">
        <v>45309</v>
      </c>
    </row>
    <row r="2264" spans="1:9" x14ac:dyDescent="0.15">
      <c r="A2264" s="6">
        <v>2263</v>
      </c>
      <c r="B2264" s="7" t="s">
        <v>9</v>
      </c>
      <c r="C2264" s="8">
        <v>1883</v>
      </c>
      <c r="D2264" s="9">
        <v>45395</v>
      </c>
      <c r="E2264" s="13" t="str">
        <f>+HYPERLINK("http://trademark.i-assist.jp/data/china/image_1883th/76475242.pdf","76475242")</f>
        <v>76475242</v>
      </c>
      <c r="F2264" s="7" t="s">
        <v>6197</v>
      </c>
      <c r="G2264" s="7" t="s">
        <v>6198</v>
      </c>
      <c r="H2264" s="7" t="s">
        <v>6199</v>
      </c>
      <c r="I2264" s="9">
        <v>45310</v>
      </c>
    </row>
    <row r="2265" spans="1:9" x14ac:dyDescent="0.15">
      <c r="A2265" s="6">
        <v>2264</v>
      </c>
      <c r="B2265" s="7" t="s">
        <v>9</v>
      </c>
      <c r="C2265" s="8">
        <v>1883</v>
      </c>
      <c r="D2265" s="9">
        <v>45395</v>
      </c>
      <c r="E2265" s="13" t="str">
        <f>+HYPERLINK("http://trademark.i-assist.jp/data/china/image_1883th/76475388.pdf","76475388")</f>
        <v>76475388</v>
      </c>
      <c r="F2265" s="7" t="s">
        <v>6200</v>
      </c>
      <c r="G2265" s="7" t="s">
        <v>6201</v>
      </c>
      <c r="H2265" s="7" t="s">
        <v>6202</v>
      </c>
      <c r="I2265" s="9">
        <v>45309</v>
      </c>
    </row>
    <row r="2266" spans="1:9" ht="27" x14ac:dyDescent="0.15">
      <c r="A2266" s="6">
        <v>2265</v>
      </c>
      <c r="B2266" s="7" t="s">
        <v>9</v>
      </c>
      <c r="C2266" s="8">
        <v>1883</v>
      </c>
      <c r="D2266" s="9">
        <v>45395</v>
      </c>
      <c r="E2266" s="13" t="str">
        <f>+HYPERLINK("http://trademark.i-assist.jp/data/china/image_1883th/76475494.pdf","76475494")</f>
        <v>76475494</v>
      </c>
      <c r="F2266" s="7" t="s">
        <v>6203</v>
      </c>
      <c r="G2266" s="7" t="s">
        <v>6204</v>
      </c>
      <c r="H2266" s="7" t="s">
        <v>6205</v>
      </c>
      <c r="I2266" s="9">
        <v>45310</v>
      </c>
    </row>
    <row r="2267" spans="1:9" x14ac:dyDescent="0.15">
      <c r="A2267" s="6">
        <v>2266</v>
      </c>
      <c r="B2267" s="7" t="s">
        <v>9</v>
      </c>
      <c r="C2267" s="8">
        <v>1883</v>
      </c>
      <c r="D2267" s="9">
        <v>45395</v>
      </c>
      <c r="E2267" s="13" t="str">
        <f>+HYPERLINK("http://trademark.i-assist.jp/data/china/image_1883th/76475542.pdf","76475542")</f>
        <v>76475542</v>
      </c>
      <c r="F2267" s="7" t="s">
        <v>6206</v>
      </c>
      <c r="G2267" s="7" t="s">
        <v>6207</v>
      </c>
      <c r="H2267" s="7" t="s">
        <v>6208</v>
      </c>
      <c r="I2267" s="9">
        <v>45310</v>
      </c>
    </row>
    <row r="2268" spans="1:9" x14ac:dyDescent="0.15">
      <c r="A2268" s="6">
        <v>2267</v>
      </c>
      <c r="B2268" s="7" t="s">
        <v>9</v>
      </c>
      <c r="C2268" s="8">
        <v>1883</v>
      </c>
      <c r="D2268" s="9">
        <v>45395</v>
      </c>
      <c r="E2268" s="13" t="str">
        <f>+HYPERLINK("http://trademark.i-assist.jp/data/china/image_1883th/76475640.pdf","76475640")</f>
        <v>76475640</v>
      </c>
      <c r="F2268" s="7" t="s">
        <v>6209</v>
      </c>
      <c r="G2268" s="7" t="s">
        <v>6210</v>
      </c>
      <c r="H2268" s="7" t="s">
        <v>6211</v>
      </c>
      <c r="I2268" s="9">
        <v>45310</v>
      </c>
    </row>
    <row r="2269" spans="1:9" x14ac:dyDescent="0.15">
      <c r="A2269" s="6">
        <v>2268</v>
      </c>
      <c r="B2269" s="7" t="s">
        <v>9</v>
      </c>
      <c r="C2269" s="8">
        <v>1883</v>
      </c>
      <c r="D2269" s="9">
        <v>45395</v>
      </c>
      <c r="E2269" s="13" t="str">
        <f>+HYPERLINK("http://trademark.i-assist.jp/data/china/image_1883th/76475655.pdf","76475655")</f>
        <v>76475655</v>
      </c>
      <c r="F2269" s="7" t="s">
        <v>6212</v>
      </c>
      <c r="G2269" s="7" t="s">
        <v>6213</v>
      </c>
      <c r="H2269" s="7" t="s">
        <v>6214</v>
      </c>
      <c r="I2269" s="9">
        <v>45310</v>
      </c>
    </row>
    <row r="2270" spans="1:9" x14ac:dyDescent="0.15">
      <c r="A2270" s="6">
        <v>2269</v>
      </c>
      <c r="B2270" s="7" t="s">
        <v>9</v>
      </c>
      <c r="C2270" s="8">
        <v>1883</v>
      </c>
      <c r="D2270" s="9">
        <v>45395</v>
      </c>
      <c r="E2270" s="13" t="str">
        <f>+HYPERLINK("http://trademark.i-assist.jp/data/china/image_1883th/76475762.pdf","76475762")</f>
        <v>76475762</v>
      </c>
      <c r="F2270" s="7" t="s">
        <v>6215</v>
      </c>
      <c r="G2270" s="7" t="s">
        <v>6021</v>
      </c>
      <c r="H2270" s="7" t="s">
        <v>6216</v>
      </c>
      <c r="I2270" s="9">
        <v>45310</v>
      </c>
    </row>
    <row r="2271" spans="1:9" x14ac:dyDescent="0.15">
      <c r="A2271" s="6">
        <v>2270</v>
      </c>
      <c r="B2271" s="7" t="s">
        <v>9</v>
      </c>
      <c r="C2271" s="8">
        <v>1883</v>
      </c>
      <c r="D2271" s="9">
        <v>45395</v>
      </c>
      <c r="E2271" s="13" t="str">
        <f>+HYPERLINK("http://trademark.i-assist.jp/data/china/image_1883th/76475796.pdf","76475796")</f>
        <v>76475796</v>
      </c>
      <c r="F2271" s="7" t="s">
        <v>6217</v>
      </c>
      <c r="G2271" s="7" t="s">
        <v>3870</v>
      </c>
      <c r="H2271" s="7" t="s">
        <v>6218</v>
      </c>
      <c r="I2271" s="9">
        <v>45310</v>
      </c>
    </row>
    <row r="2272" spans="1:9" x14ac:dyDescent="0.15">
      <c r="A2272" s="6">
        <v>2271</v>
      </c>
      <c r="B2272" s="7" t="s">
        <v>9</v>
      </c>
      <c r="C2272" s="8">
        <v>1883</v>
      </c>
      <c r="D2272" s="9">
        <v>45395</v>
      </c>
      <c r="E2272" s="13" t="str">
        <f>+HYPERLINK("http://trademark.i-assist.jp/data/china/image_1883th/76475834.pdf","76475834")</f>
        <v>76475834</v>
      </c>
      <c r="F2272" s="7" t="s">
        <v>6219</v>
      </c>
      <c r="G2272" s="7" t="s">
        <v>3376</v>
      </c>
      <c r="H2272" s="7" t="s">
        <v>6220</v>
      </c>
      <c r="I2272" s="9">
        <v>45310</v>
      </c>
    </row>
    <row r="2273" spans="1:9" x14ac:dyDescent="0.15">
      <c r="A2273" s="6">
        <v>2272</v>
      </c>
      <c r="B2273" s="7" t="s">
        <v>9</v>
      </c>
      <c r="C2273" s="8">
        <v>1883</v>
      </c>
      <c r="D2273" s="9">
        <v>45395</v>
      </c>
      <c r="E2273" s="13" t="str">
        <f>+HYPERLINK("http://trademark.i-assist.jp/data/china/image_1883th/76475933.pdf","76475933")</f>
        <v>76475933</v>
      </c>
      <c r="F2273" s="7" t="s">
        <v>6221</v>
      </c>
      <c r="G2273" s="7" t="s">
        <v>6222</v>
      </c>
      <c r="H2273" s="7" t="s">
        <v>6223</v>
      </c>
      <c r="I2273" s="9">
        <v>45310</v>
      </c>
    </row>
    <row r="2274" spans="1:9" x14ac:dyDescent="0.15">
      <c r="A2274" s="6">
        <v>2273</v>
      </c>
      <c r="B2274" s="7" t="s">
        <v>9</v>
      </c>
      <c r="C2274" s="8">
        <v>1883</v>
      </c>
      <c r="D2274" s="9">
        <v>45395</v>
      </c>
      <c r="E2274" s="13" t="str">
        <f>+HYPERLINK("http://trademark.i-assist.jp/data/china/image_1883th/76475986.pdf","76475986")</f>
        <v>76475986</v>
      </c>
      <c r="F2274" s="7" t="s">
        <v>6224</v>
      </c>
      <c r="G2274" s="7" t="s">
        <v>4987</v>
      </c>
      <c r="H2274" s="7" t="s">
        <v>6225</v>
      </c>
      <c r="I2274" s="9">
        <v>45310</v>
      </c>
    </row>
    <row r="2275" spans="1:9" x14ac:dyDescent="0.15">
      <c r="A2275" s="6">
        <v>2274</v>
      </c>
      <c r="B2275" s="7" t="s">
        <v>9</v>
      </c>
      <c r="C2275" s="8">
        <v>1883</v>
      </c>
      <c r="D2275" s="9">
        <v>45395</v>
      </c>
      <c r="E2275" s="13" t="str">
        <f>+HYPERLINK("http://trademark.i-assist.jp/data/china/image_1883th/76476047.pdf","76476047")</f>
        <v>76476047</v>
      </c>
      <c r="F2275" s="7" t="s">
        <v>6226</v>
      </c>
      <c r="G2275" s="7" t="s">
        <v>6227</v>
      </c>
      <c r="H2275" s="7" t="s">
        <v>6228</v>
      </c>
      <c r="I2275" s="9">
        <v>45310</v>
      </c>
    </row>
    <row r="2276" spans="1:9" ht="27" x14ac:dyDescent="0.15">
      <c r="A2276" s="6">
        <v>2275</v>
      </c>
      <c r="B2276" s="7" t="s">
        <v>9</v>
      </c>
      <c r="C2276" s="8">
        <v>1883</v>
      </c>
      <c r="D2276" s="9">
        <v>45395</v>
      </c>
      <c r="E2276" s="13" t="str">
        <f>+HYPERLINK("http://trademark.i-assist.jp/data/china/image_1883th/76476162.pdf","76476162")</f>
        <v>76476162</v>
      </c>
      <c r="F2276" s="7" t="s">
        <v>57</v>
      </c>
      <c r="G2276" s="7" t="s">
        <v>6229</v>
      </c>
      <c r="H2276" s="7" t="s">
        <v>6230</v>
      </c>
      <c r="I2276" s="9">
        <v>45310</v>
      </c>
    </row>
    <row r="2277" spans="1:9" ht="27" x14ac:dyDescent="0.15">
      <c r="A2277" s="6">
        <v>2276</v>
      </c>
      <c r="B2277" s="7" t="s">
        <v>9</v>
      </c>
      <c r="C2277" s="8">
        <v>1883</v>
      </c>
      <c r="D2277" s="9">
        <v>45395</v>
      </c>
      <c r="E2277" s="13" t="str">
        <f>+HYPERLINK("http://trademark.i-assist.jp/data/china/image_1883th/76476205.pdf","76476205")</f>
        <v>76476205</v>
      </c>
      <c r="F2277" s="7" t="s">
        <v>6231</v>
      </c>
      <c r="G2277" s="7" t="s">
        <v>6229</v>
      </c>
      <c r="H2277" s="7" t="s">
        <v>6232</v>
      </c>
      <c r="I2277" s="9">
        <v>45310</v>
      </c>
    </row>
    <row r="2278" spans="1:9" ht="27" x14ac:dyDescent="0.15">
      <c r="A2278" s="6">
        <v>2277</v>
      </c>
      <c r="B2278" s="7" t="s">
        <v>9</v>
      </c>
      <c r="C2278" s="8">
        <v>1883</v>
      </c>
      <c r="D2278" s="9">
        <v>45395</v>
      </c>
      <c r="E2278" s="13" t="str">
        <f>+HYPERLINK("http://trademark.i-assist.jp/data/china/image_1883th/76476258.pdf","76476258")</f>
        <v>76476258</v>
      </c>
      <c r="F2278" s="7" t="s">
        <v>6233</v>
      </c>
      <c r="G2278" s="7" t="s">
        <v>6234</v>
      </c>
      <c r="H2278" s="7" t="s">
        <v>6235</v>
      </c>
      <c r="I2278" s="9">
        <v>45309</v>
      </c>
    </row>
    <row r="2279" spans="1:9" x14ac:dyDescent="0.15">
      <c r="A2279" s="6">
        <v>2278</v>
      </c>
      <c r="B2279" s="7" t="s">
        <v>9</v>
      </c>
      <c r="C2279" s="8">
        <v>1883</v>
      </c>
      <c r="D2279" s="9">
        <v>45395</v>
      </c>
      <c r="E2279" s="13" t="str">
        <f>+HYPERLINK("http://trademark.i-assist.jp/data/china/image_1883th/76476435.pdf","76476435")</f>
        <v>76476435</v>
      </c>
      <c r="F2279" s="7" t="s">
        <v>6236</v>
      </c>
      <c r="G2279" s="7" t="s">
        <v>5672</v>
      </c>
      <c r="H2279" s="7" t="s">
        <v>6237</v>
      </c>
      <c r="I2279" s="9">
        <v>45309</v>
      </c>
    </row>
    <row r="2280" spans="1:9" x14ac:dyDescent="0.15">
      <c r="A2280" s="6">
        <v>2279</v>
      </c>
      <c r="B2280" s="7" t="s">
        <v>9</v>
      </c>
      <c r="C2280" s="8">
        <v>1883</v>
      </c>
      <c r="D2280" s="9">
        <v>45395</v>
      </c>
      <c r="E2280" s="13" t="str">
        <f>+HYPERLINK("http://trademark.i-assist.jp/data/china/image_1883th/76476564.pdf","76476564")</f>
        <v>76476564</v>
      </c>
      <c r="F2280" s="7" t="s">
        <v>6238</v>
      </c>
      <c r="G2280" s="7" t="s">
        <v>6239</v>
      </c>
      <c r="H2280" s="7" t="s">
        <v>6240</v>
      </c>
      <c r="I2280" s="9">
        <v>45309</v>
      </c>
    </row>
    <row r="2281" spans="1:9" x14ac:dyDescent="0.15">
      <c r="A2281" s="6">
        <v>2280</v>
      </c>
      <c r="B2281" s="7" t="s">
        <v>9</v>
      </c>
      <c r="C2281" s="8">
        <v>1883</v>
      </c>
      <c r="D2281" s="9">
        <v>45395</v>
      </c>
      <c r="E2281" s="13" t="str">
        <f>+HYPERLINK("http://trademark.i-assist.jp/data/china/image_1883th/76476781.pdf","76476781")</f>
        <v>76476781</v>
      </c>
      <c r="F2281" s="7" t="s">
        <v>6241</v>
      </c>
      <c r="G2281" s="7" t="s">
        <v>6242</v>
      </c>
      <c r="H2281" s="7" t="s">
        <v>6243</v>
      </c>
      <c r="I2281" s="9">
        <v>45309</v>
      </c>
    </row>
    <row r="2282" spans="1:9" x14ac:dyDescent="0.15">
      <c r="A2282" s="6">
        <v>2281</v>
      </c>
      <c r="B2282" s="7" t="s">
        <v>9</v>
      </c>
      <c r="C2282" s="8">
        <v>1883</v>
      </c>
      <c r="D2282" s="9">
        <v>45395</v>
      </c>
      <c r="E2282" s="13" t="str">
        <f>+HYPERLINK("http://trademark.i-assist.jp/data/china/image_1883th/76476802.pdf","76476802")</f>
        <v>76476802</v>
      </c>
      <c r="F2282" s="7" t="s">
        <v>6244</v>
      </c>
      <c r="G2282" s="7" t="s">
        <v>6092</v>
      </c>
      <c r="H2282" s="7" t="s">
        <v>6245</v>
      </c>
      <c r="I2282" s="9">
        <v>45309</v>
      </c>
    </row>
    <row r="2283" spans="1:9" x14ac:dyDescent="0.15">
      <c r="A2283" s="6">
        <v>2282</v>
      </c>
      <c r="B2283" s="7" t="s">
        <v>9</v>
      </c>
      <c r="C2283" s="8">
        <v>1883</v>
      </c>
      <c r="D2283" s="9">
        <v>45395</v>
      </c>
      <c r="E2283" s="13" t="str">
        <f>+HYPERLINK("http://trademark.i-assist.jp/data/china/image_1883th/76476867.pdf","76476867")</f>
        <v>76476867</v>
      </c>
      <c r="F2283" s="7" t="s">
        <v>6246</v>
      </c>
      <c r="G2283" s="7" t="s">
        <v>6247</v>
      </c>
      <c r="H2283" s="7" t="s">
        <v>6248</v>
      </c>
      <c r="I2283" s="9">
        <v>45309</v>
      </c>
    </row>
    <row r="2284" spans="1:9" x14ac:dyDescent="0.15">
      <c r="A2284" s="6">
        <v>2283</v>
      </c>
      <c r="B2284" s="7" t="s">
        <v>9</v>
      </c>
      <c r="C2284" s="8">
        <v>1883</v>
      </c>
      <c r="D2284" s="9">
        <v>45395</v>
      </c>
      <c r="E2284" s="13" t="str">
        <f>+HYPERLINK("http://trademark.i-assist.jp/data/china/image_1883th/76477124.pdf","76477124")</f>
        <v>76477124</v>
      </c>
      <c r="F2284" s="7" t="s">
        <v>6249</v>
      </c>
      <c r="G2284" s="7" t="s">
        <v>5917</v>
      </c>
      <c r="H2284" s="7" t="s">
        <v>6250</v>
      </c>
      <c r="I2284" s="9">
        <v>45309</v>
      </c>
    </row>
    <row r="2285" spans="1:9" x14ac:dyDescent="0.15">
      <c r="A2285" s="6">
        <v>2284</v>
      </c>
      <c r="B2285" s="7" t="s">
        <v>9</v>
      </c>
      <c r="C2285" s="8">
        <v>1883</v>
      </c>
      <c r="D2285" s="9">
        <v>45395</v>
      </c>
      <c r="E2285" s="13" t="str">
        <f>+HYPERLINK("http://trademark.i-assist.jp/data/china/image_1883th/76477272.pdf","76477272")</f>
        <v>76477272</v>
      </c>
      <c r="F2285" s="7" t="s">
        <v>6251</v>
      </c>
      <c r="G2285" s="7" t="s">
        <v>5964</v>
      </c>
      <c r="H2285" s="7" t="s">
        <v>6252</v>
      </c>
      <c r="I2285" s="9">
        <v>45309</v>
      </c>
    </row>
    <row r="2286" spans="1:9" x14ac:dyDescent="0.15">
      <c r="A2286" s="6">
        <v>2285</v>
      </c>
      <c r="B2286" s="7" t="s">
        <v>9</v>
      </c>
      <c r="C2286" s="8">
        <v>1883</v>
      </c>
      <c r="D2286" s="9">
        <v>45395</v>
      </c>
      <c r="E2286" s="13" t="str">
        <f>+HYPERLINK("http://trademark.i-assist.jp/data/china/image_1883th/76477284.pdf","76477284")</f>
        <v>76477284</v>
      </c>
      <c r="F2286" s="7" t="s">
        <v>6253</v>
      </c>
      <c r="G2286" s="7" t="s">
        <v>4340</v>
      </c>
      <c r="H2286" s="7" t="s">
        <v>6254</v>
      </c>
      <c r="I2286" s="9">
        <v>45309</v>
      </c>
    </row>
    <row r="2287" spans="1:9" x14ac:dyDescent="0.15">
      <c r="A2287" s="6">
        <v>2286</v>
      </c>
      <c r="B2287" s="7" t="s">
        <v>9</v>
      </c>
      <c r="C2287" s="8">
        <v>1883</v>
      </c>
      <c r="D2287" s="9">
        <v>45395</v>
      </c>
      <c r="E2287" s="13" t="str">
        <f>+HYPERLINK("http://trademark.i-assist.jp/data/china/image_1883th/76477407.pdf","76477407")</f>
        <v>76477407</v>
      </c>
      <c r="F2287" s="7" t="s">
        <v>6255</v>
      </c>
      <c r="G2287" s="7" t="s">
        <v>6256</v>
      </c>
      <c r="H2287" s="7" t="s">
        <v>6257</v>
      </c>
      <c r="I2287" s="9">
        <v>45309</v>
      </c>
    </row>
    <row r="2288" spans="1:9" x14ac:dyDescent="0.15">
      <c r="A2288" s="6">
        <v>2287</v>
      </c>
      <c r="B2288" s="7" t="s">
        <v>9</v>
      </c>
      <c r="C2288" s="8">
        <v>1883</v>
      </c>
      <c r="D2288" s="9">
        <v>45395</v>
      </c>
      <c r="E2288" s="13" t="str">
        <f>+HYPERLINK("http://trademark.i-assist.jp/data/china/image_1883th/76477436.pdf","76477436")</f>
        <v>76477436</v>
      </c>
      <c r="F2288" s="7" t="s">
        <v>6258</v>
      </c>
      <c r="G2288" s="7" t="s">
        <v>6259</v>
      </c>
      <c r="H2288" s="7" t="s">
        <v>6260</v>
      </c>
      <c r="I2288" s="9">
        <v>45309</v>
      </c>
    </row>
    <row r="2289" spans="1:9" x14ac:dyDescent="0.15">
      <c r="A2289" s="6">
        <v>2288</v>
      </c>
      <c r="B2289" s="7" t="s">
        <v>9</v>
      </c>
      <c r="C2289" s="8">
        <v>1883</v>
      </c>
      <c r="D2289" s="9">
        <v>45395</v>
      </c>
      <c r="E2289" s="13" t="str">
        <f>+HYPERLINK("http://trademark.i-assist.jp/data/china/image_1883th/76477482.pdf","76477482")</f>
        <v>76477482</v>
      </c>
      <c r="F2289" s="7" t="s">
        <v>6261</v>
      </c>
      <c r="G2289" s="7" t="s">
        <v>6262</v>
      </c>
      <c r="H2289" s="7" t="s">
        <v>6263</v>
      </c>
      <c r="I2289" s="9">
        <v>45309</v>
      </c>
    </row>
    <row r="2290" spans="1:9" x14ac:dyDescent="0.15">
      <c r="A2290" s="6">
        <v>2289</v>
      </c>
      <c r="B2290" s="7" t="s">
        <v>9</v>
      </c>
      <c r="C2290" s="8">
        <v>1883</v>
      </c>
      <c r="D2290" s="9">
        <v>45395</v>
      </c>
      <c r="E2290" s="13" t="str">
        <f>+HYPERLINK("http://trademark.i-assist.jp/data/china/image_1883th/76477496.pdf","76477496")</f>
        <v>76477496</v>
      </c>
      <c r="F2290" s="7" t="s">
        <v>6264</v>
      </c>
      <c r="G2290" s="7" t="s">
        <v>6170</v>
      </c>
      <c r="H2290" s="7" t="s">
        <v>6265</v>
      </c>
      <c r="I2290" s="9">
        <v>45309</v>
      </c>
    </row>
    <row r="2291" spans="1:9" ht="27" x14ac:dyDescent="0.15">
      <c r="A2291" s="6">
        <v>2290</v>
      </c>
      <c r="B2291" s="7" t="s">
        <v>9</v>
      </c>
      <c r="C2291" s="8">
        <v>1883</v>
      </c>
      <c r="D2291" s="9">
        <v>45395</v>
      </c>
      <c r="E2291" s="13" t="str">
        <f>+HYPERLINK("http://trademark.i-assist.jp/data/china/image_1883th/76477935.pdf","76477935")</f>
        <v>76477935</v>
      </c>
      <c r="F2291" s="7" t="s">
        <v>5381</v>
      </c>
      <c r="G2291" s="7" t="s">
        <v>5382</v>
      </c>
      <c r="H2291" s="7" t="s">
        <v>6266</v>
      </c>
      <c r="I2291" s="9">
        <v>45309</v>
      </c>
    </row>
    <row r="2292" spans="1:9" x14ac:dyDescent="0.15">
      <c r="A2292" s="6">
        <v>2291</v>
      </c>
      <c r="B2292" s="7" t="s">
        <v>9</v>
      </c>
      <c r="C2292" s="8">
        <v>1883</v>
      </c>
      <c r="D2292" s="9">
        <v>45395</v>
      </c>
      <c r="E2292" s="13" t="str">
        <f>+HYPERLINK("http://trademark.i-assist.jp/data/china/image_1883th/76478146.pdf","76478146")</f>
        <v>76478146</v>
      </c>
      <c r="F2292" s="7" t="s">
        <v>6267</v>
      </c>
      <c r="G2292" s="7" t="s">
        <v>6268</v>
      </c>
      <c r="H2292" s="7" t="s">
        <v>6269</v>
      </c>
      <c r="I2292" s="9">
        <v>45310</v>
      </c>
    </row>
    <row r="2293" spans="1:9" x14ac:dyDescent="0.15">
      <c r="A2293" s="6">
        <v>2292</v>
      </c>
      <c r="B2293" s="7" t="s">
        <v>9</v>
      </c>
      <c r="C2293" s="8">
        <v>1883</v>
      </c>
      <c r="D2293" s="9">
        <v>45395</v>
      </c>
      <c r="E2293" s="13" t="str">
        <f>+HYPERLINK("http://trademark.i-assist.jp/data/china/image_1883th/76478216.pdf","76478216")</f>
        <v>76478216</v>
      </c>
      <c r="F2293" s="7" t="s">
        <v>6270</v>
      </c>
      <c r="G2293" s="7" t="s">
        <v>598</v>
      </c>
      <c r="H2293" s="7" t="s">
        <v>6271</v>
      </c>
      <c r="I2293" s="9">
        <v>45310</v>
      </c>
    </row>
    <row r="2294" spans="1:9" ht="27" x14ac:dyDescent="0.15">
      <c r="A2294" s="6">
        <v>2293</v>
      </c>
      <c r="B2294" s="7" t="s">
        <v>9</v>
      </c>
      <c r="C2294" s="8">
        <v>1883</v>
      </c>
      <c r="D2294" s="9">
        <v>45395</v>
      </c>
      <c r="E2294" s="13" t="str">
        <f>+HYPERLINK("http://trademark.i-assist.jp/data/china/image_1883th/76478321.pdf","76478321")</f>
        <v>76478321</v>
      </c>
      <c r="F2294" s="7" t="s">
        <v>6272</v>
      </c>
      <c r="G2294" s="7" t="s">
        <v>6273</v>
      </c>
      <c r="H2294" s="7" t="s">
        <v>6274</v>
      </c>
      <c r="I2294" s="9">
        <v>45309</v>
      </c>
    </row>
    <row r="2295" spans="1:9" x14ac:dyDescent="0.15">
      <c r="A2295" s="6">
        <v>2294</v>
      </c>
      <c r="B2295" s="7" t="s">
        <v>9</v>
      </c>
      <c r="C2295" s="8">
        <v>1883</v>
      </c>
      <c r="D2295" s="9">
        <v>45395</v>
      </c>
      <c r="E2295" s="13" t="str">
        <f>+HYPERLINK("http://trademark.i-assist.jp/data/china/image_1883th/76478437.pdf","76478437")</f>
        <v>76478437</v>
      </c>
      <c r="F2295" s="7" t="s">
        <v>6275</v>
      </c>
      <c r="G2295" s="7" t="s">
        <v>6276</v>
      </c>
      <c r="H2295" s="7" t="s">
        <v>6277</v>
      </c>
      <c r="I2295" s="9">
        <v>45309</v>
      </c>
    </row>
    <row r="2296" spans="1:9" x14ac:dyDescent="0.15">
      <c r="A2296" s="6">
        <v>2295</v>
      </c>
      <c r="B2296" s="7" t="s">
        <v>9</v>
      </c>
      <c r="C2296" s="8">
        <v>1883</v>
      </c>
      <c r="D2296" s="9">
        <v>45395</v>
      </c>
      <c r="E2296" s="13" t="str">
        <f>+HYPERLINK("http://trademark.i-assist.jp/data/china/image_1883th/76478569.pdf","76478569")</f>
        <v>76478569</v>
      </c>
      <c r="F2296" s="7" t="s">
        <v>6278</v>
      </c>
      <c r="G2296" s="7" t="s">
        <v>5302</v>
      </c>
      <c r="H2296" s="7" t="s">
        <v>6279</v>
      </c>
      <c r="I2296" s="9">
        <v>45309</v>
      </c>
    </row>
    <row r="2297" spans="1:9" ht="27" x14ac:dyDescent="0.15">
      <c r="A2297" s="6">
        <v>2296</v>
      </c>
      <c r="B2297" s="7" t="s">
        <v>9</v>
      </c>
      <c r="C2297" s="8">
        <v>1883</v>
      </c>
      <c r="D2297" s="9">
        <v>45395</v>
      </c>
      <c r="E2297" s="13" t="str">
        <f>+HYPERLINK("http://trademark.i-assist.jp/data/china/image_1883th/76478578.pdf","76478578")</f>
        <v>76478578</v>
      </c>
      <c r="F2297" s="7" t="s">
        <v>6148</v>
      </c>
      <c r="G2297" s="7" t="s">
        <v>6149</v>
      </c>
      <c r="H2297" s="7" t="s">
        <v>6280</v>
      </c>
      <c r="I2297" s="9">
        <v>45309</v>
      </c>
    </row>
    <row r="2298" spans="1:9" x14ac:dyDescent="0.15">
      <c r="A2298" s="6">
        <v>2297</v>
      </c>
      <c r="B2298" s="7" t="s">
        <v>9</v>
      </c>
      <c r="C2298" s="8">
        <v>1883</v>
      </c>
      <c r="D2298" s="9">
        <v>45395</v>
      </c>
      <c r="E2298" s="13" t="str">
        <f>+HYPERLINK("http://trademark.i-assist.jp/data/china/image_1883th/76478971.pdf","76478971")</f>
        <v>76478971</v>
      </c>
      <c r="F2298" s="7" t="s">
        <v>6281</v>
      </c>
      <c r="G2298" s="7" t="s">
        <v>6282</v>
      </c>
      <c r="H2298" s="7" t="s">
        <v>6283</v>
      </c>
      <c r="I2298" s="9">
        <v>45310</v>
      </c>
    </row>
    <row r="2299" spans="1:9" x14ac:dyDescent="0.15">
      <c r="A2299" s="6">
        <v>2298</v>
      </c>
      <c r="B2299" s="7" t="s">
        <v>9</v>
      </c>
      <c r="C2299" s="8">
        <v>1883</v>
      </c>
      <c r="D2299" s="9">
        <v>45395</v>
      </c>
      <c r="E2299" s="13" t="str">
        <f>+HYPERLINK("http://trademark.i-assist.jp/data/china/image_1883th/76479022.pdf","76479022")</f>
        <v>76479022</v>
      </c>
      <c r="F2299" s="7" t="s">
        <v>6284</v>
      </c>
      <c r="G2299" s="7" t="s">
        <v>6285</v>
      </c>
      <c r="H2299" s="7" t="s">
        <v>6286</v>
      </c>
      <c r="I2299" s="9">
        <v>45310</v>
      </c>
    </row>
    <row r="2300" spans="1:9" ht="27" x14ac:dyDescent="0.15">
      <c r="A2300" s="6">
        <v>2299</v>
      </c>
      <c r="B2300" s="7" t="s">
        <v>9</v>
      </c>
      <c r="C2300" s="8">
        <v>1883</v>
      </c>
      <c r="D2300" s="9">
        <v>45395</v>
      </c>
      <c r="E2300" s="13" t="str">
        <f>+HYPERLINK("http://trademark.i-assist.jp/data/china/image_1883th/76479444.pdf","76479444")</f>
        <v>76479444</v>
      </c>
      <c r="F2300" s="7" t="s">
        <v>6287</v>
      </c>
      <c r="G2300" s="7" t="s">
        <v>6288</v>
      </c>
      <c r="H2300" s="7" t="s">
        <v>6289</v>
      </c>
      <c r="I2300" s="9">
        <v>45310</v>
      </c>
    </row>
    <row r="2301" spans="1:9" x14ac:dyDescent="0.15">
      <c r="A2301" s="6">
        <v>2300</v>
      </c>
      <c r="B2301" s="7" t="s">
        <v>9</v>
      </c>
      <c r="C2301" s="8">
        <v>1883</v>
      </c>
      <c r="D2301" s="9">
        <v>45395</v>
      </c>
      <c r="E2301" s="13" t="str">
        <f>+HYPERLINK("http://trademark.i-assist.jp/data/china/image_1883th/76479786.pdf","76479786")</f>
        <v>76479786</v>
      </c>
      <c r="F2301" s="7" t="s">
        <v>6290</v>
      </c>
      <c r="G2301" s="7" t="s">
        <v>5961</v>
      </c>
      <c r="H2301" s="7" t="s">
        <v>6291</v>
      </c>
      <c r="I2301" s="9">
        <v>45309</v>
      </c>
    </row>
    <row r="2302" spans="1:9" x14ac:dyDescent="0.15">
      <c r="A2302" s="6">
        <v>2301</v>
      </c>
      <c r="B2302" s="7" t="s">
        <v>9</v>
      </c>
      <c r="C2302" s="8">
        <v>1883</v>
      </c>
      <c r="D2302" s="9">
        <v>45395</v>
      </c>
      <c r="E2302" s="13" t="str">
        <f>+HYPERLINK("http://trademark.i-assist.jp/data/china/image_1883th/76479805.pdf","76479805")</f>
        <v>76479805</v>
      </c>
      <c r="F2302" s="7" t="s">
        <v>6292</v>
      </c>
      <c r="G2302" s="7" t="s">
        <v>6293</v>
      </c>
      <c r="H2302" s="7" t="s">
        <v>6294</v>
      </c>
      <c r="I2302" s="9">
        <v>45309</v>
      </c>
    </row>
    <row r="2303" spans="1:9" x14ac:dyDescent="0.15">
      <c r="A2303" s="6">
        <v>2302</v>
      </c>
      <c r="B2303" s="7" t="s">
        <v>9</v>
      </c>
      <c r="C2303" s="8">
        <v>1883</v>
      </c>
      <c r="D2303" s="9">
        <v>45395</v>
      </c>
      <c r="E2303" s="13" t="str">
        <f>+HYPERLINK("http://trademark.i-assist.jp/data/china/image_1883th/76479829.pdf","76479829")</f>
        <v>76479829</v>
      </c>
      <c r="F2303" s="7" t="s">
        <v>6295</v>
      </c>
      <c r="G2303" s="7" t="s">
        <v>6092</v>
      </c>
      <c r="H2303" s="7" t="s">
        <v>6296</v>
      </c>
      <c r="I2303" s="9">
        <v>45309</v>
      </c>
    </row>
    <row r="2304" spans="1:9" x14ac:dyDescent="0.15">
      <c r="A2304" s="6">
        <v>2303</v>
      </c>
      <c r="B2304" s="7" t="s">
        <v>9</v>
      </c>
      <c r="C2304" s="8">
        <v>1883</v>
      </c>
      <c r="D2304" s="9">
        <v>45395</v>
      </c>
      <c r="E2304" s="13" t="str">
        <f>+HYPERLINK("http://trademark.i-assist.jp/data/china/image_1883th/76479938.pdf","76479938")</f>
        <v>76479938</v>
      </c>
      <c r="F2304" s="7" t="s">
        <v>6297</v>
      </c>
      <c r="G2304" s="7" t="s">
        <v>3903</v>
      </c>
      <c r="H2304" s="7" t="s">
        <v>6298</v>
      </c>
      <c r="I2304" s="9">
        <v>45309</v>
      </c>
    </row>
    <row r="2305" spans="1:9" ht="27" x14ac:dyDescent="0.15">
      <c r="A2305" s="6">
        <v>2304</v>
      </c>
      <c r="B2305" s="7" t="s">
        <v>9</v>
      </c>
      <c r="C2305" s="8">
        <v>1883</v>
      </c>
      <c r="D2305" s="9">
        <v>45395</v>
      </c>
      <c r="E2305" s="13" t="str">
        <f>+HYPERLINK("http://trademark.i-assist.jp/data/china/image_1883th/76480117.pdf","76480117")</f>
        <v>76480117</v>
      </c>
      <c r="F2305" s="7" t="s">
        <v>6299</v>
      </c>
      <c r="G2305" s="7" t="s">
        <v>6288</v>
      </c>
      <c r="H2305" s="7" t="s">
        <v>6300</v>
      </c>
      <c r="I2305" s="9">
        <v>45310</v>
      </c>
    </row>
    <row r="2306" spans="1:9" x14ac:dyDescent="0.15">
      <c r="A2306" s="6">
        <v>2305</v>
      </c>
      <c r="B2306" s="7" t="s">
        <v>9</v>
      </c>
      <c r="C2306" s="8">
        <v>1883</v>
      </c>
      <c r="D2306" s="9">
        <v>45395</v>
      </c>
      <c r="E2306" s="13" t="str">
        <f>+HYPERLINK("http://trademark.i-assist.jp/data/china/image_1883th/76480496.pdf","76480496")</f>
        <v>76480496</v>
      </c>
      <c r="F2306" s="7" t="s">
        <v>6301</v>
      </c>
      <c r="G2306" s="7" t="s">
        <v>6302</v>
      </c>
      <c r="H2306" s="7" t="s">
        <v>6303</v>
      </c>
      <c r="I2306" s="9">
        <v>45310</v>
      </c>
    </row>
    <row r="2307" spans="1:9" ht="27" x14ac:dyDescent="0.15">
      <c r="A2307" s="6">
        <v>2306</v>
      </c>
      <c r="B2307" s="7" t="s">
        <v>9</v>
      </c>
      <c r="C2307" s="8">
        <v>1883</v>
      </c>
      <c r="D2307" s="9">
        <v>45395</v>
      </c>
      <c r="E2307" s="13" t="str">
        <f>+HYPERLINK("http://trademark.i-assist.jp/data/china/image_1883th/76480643.pdf","76480643")</f>
        <v>76480643</v>
      </c>
      <c r="F2307" s="7" t="s">
        <v>6304</v>
      </c>
      <c r="G2307" s="7" t="s">
        <v>6305</v>
      </c>
      <c r="H2307" s="7" t="s">
        <v>6306</v>
      </c>
      <c r="I2307" s="9">
        <v>45309</v>
      </c>
    </row>
    <row r="2308" spans="1:9" x14ac:dyDescent="0.15">
      <c r="A2308" s="6">
        <v>2307</v>
      </c>
      <c r="B2308" s="7" t="s">
        <v>9</v>
      </c>
      <c r="C2308" s="8">
        <v>1883</v>
      </c>
      <c r="D2308" s="9">
        <v>45395</v>
      </c>
      <c r="E2308" s="13" t="str">
        <f>+HYPERLINK("http://trademark.i-assist.jp/data/china/image_1883th/76480798.pdf","76480798")</f>
        <v>76480798</v>
      </c>
      <c r="F2308" s="7" t="s">
        <v>6307</v>
      </c>
      <c r="G2308" s="7" t="s">
        <v>6308</v>
      </c>
      <c r="H2308" s="7" t="s">
        <v>6309</v>
      </c>
      <c r="I2308" s="9">
        <v>45309</v>
      </c>
    </row>
    <row r="2309" spans="1:9" ht="27" x14ac:dyDescent="0.15">
      <c r="A2309" s="6">
        <v>2308</v>
      </c>
      <c r="B2309" s="7" t="s">
        <v>9</v>
      </c>
      <c r="C2309" s="8">
        <v>1883</v>
      </c>
      <c r="D2309" s="9">
        <v>45395</v>
      </c>
      <c r="E2309" s="13" t="str">
        <f>+HYPERLINK("http://trademark.i-assist.jp/data/china/image_1883th/76481214.pdf","76481214")</f>
        <v>76481214</v>
      </c>
      <c r="F2309" s="7" t="s">
        <v>6310</v>
      </c>
      <c r="G2309" s="7" t="s">
        <v>6311</v>
      </c>
      <c r="H2309" s="7" t="s">
        <v>6312</v>
      </c>
      <c r="I2309" s="9">
        <v>45309</v>
      </c>
    </row>
    <row r="2310" spans="1:9" x14ac:dyDescent="0.15">
      <c r="A2310" s="6">
        <v>2309</v>
      </c>
      <c r="B2310" s="7" t="s">
        <v>9</v>
      </c>
      <c r="C2310" s="8">
        <v>1883</v>
      </c>
      <c r="D2310" s="9">
        <v>45395</v>
      </c>
      <c r="E2310" s="13" t="str">
        <f>+HYPERLINK("http://trademark.i-assist.jp/data/china/image_1883th/76481281.pdf","76481281")</f>
        <v>76481281</v>
      </c>
      <c r="F2310" s="7" t="s">
        <v>6313</v>
      </c>
      <c r="G2310" s="7" t="s">
        <v>6314</v>
      </c>
      <c r="H2310" s="7" t="s">
        <v>6315</v>
      </c>
      <c r="I2310" s="9">
        <v>45309</v>
      </c>
    </row>
    <row r="2311" spans="1:9" x14ac:dyDescent="0.15">
      <c r="A2311" s="6">
        <v>2310</v>
      </c>
      <c r="B2311" s="7" t="s">
        <v>9</v>
      </c>
      <c r="C2311" s="8">
        <v>1883</v>
      </c>
      <c r="D2311" s="9">
        <v>45395</v>
      </c>
      <c r="E2311" s="13" t="str">
        <f>+HYPERLINK("http://trademark.i-assist.jp/data/china/image_1883th/76481323.pdf","76481323")</f>
        <v>76481323</v>
      </c>
      <c r="F2311" s="7" t="s">
        <v>6316</v>
      </c>
      <c r="G2311" s="7" t="s">
        <v>6317</v>
      </c>
      <c r="H2311" s="7" t="s">
        <v>6318</v>
      </c>
      <c r="I2311" s="9">
        <v>45309</v>
      </c>
    </row>
    <row r="2312" spans="1:9" x14ac:dyDescent="0.15">
      <c r="A2312" s="6">
        <v>2311</v>
      </c>
      <c r="B2312" s="7" t="s">
        <v>9</v>
      </c>
      <c r="C2312" s="8">
        <v>1883</v>
      </c>
      <c r="D2312" s="9">
        <v>45395</v>
      </c>
      <c r="E2312" s="13" t="str">
        <f>+HYPERLINK("http://trademark.i-assist.jp/data/china/image_1883th/76481578.pdf","76481578")</f>
        <v>76481578</v>
      </c>
      <c r="F2312" s="7" t="s">
        <v>6319</v>
      </c>
      <c r="G2312" s="7" t="s">
        <v>6320</v>
      </c>
      <c r="H2312" s="7" t="s">
        <v>6321</v>
      </c>
      <c r="I2312" s="9">
        <v>45310</v>
      </c>
    </row>
    <row r="2313" spans="1:9" x14ac:dyDescent="0.15">
      <c r="A2313" s="6">
        <v>2312</v>
      </c>
      <c r="B2313" s="7" t="s">
        <v>9</v>
      </c>
      <c r="C2313" s="8">
        <v>1883</v>
      </c>
      <c r="D2313" s="9">
        <v>45395</v>
      </c>
      <c r="E2313" s="13" t="str">
        <f>+HYPERLINK("http://trademark.i-assist.jp/data/china/image_1883th/76481725.pdf","76481725")</f>
        <v>76481725</v>
      </c>
      <c r="F2313" s="7" t="s">
        <v>6322</v>
      </c>
      <c r="G2313" s="7" t="s">
        <v>6323</v>
      </c>
      <c r="H2313" s="7" t="s">
        <v>6324</v>
      </c>
      <c r="I2313" s="9">
        <v>45310</v>
      </c>
    </row>
    <row r="2314" spans="1:9" ht="27" x14ac:dyDescent="0.15">
      <c r="A2314" s="6">
        <v>2313</v>
      </c>
      <c r="B2314" s="7" t="s">
        <v>9</v>
      </c>
      <c r="C2314" s="8">
        <v>1883</v>
      </c>
      <c r="D2314" s="9">
        <v>45395</v>
      </c>
      <c r="E2314" s="13" t="str">
        <f>+HYPERLINK("http://trademark.i-assist.jp/data/china/image_1883th/76481772.pdf","76481772")</f>
        <v>76481772</v>
      </c>
      <c r="F2314" s="7" t="s">
        <v>6325</v>
      </c>
      <c r="G2314" s="7" t="s">
        <v>6326</v>
      </c>
      <c r="H2314" s="7" t="s">
        <v>6327</v>
      </c>
      <c r="I2314" s="9">
        <v>45309</v>
      </c>
    </row>
    <row r="2315" spans="1:9" x14ac:dyDescent="0.15">
      <c r="A2315" s="6">
        <v>2314</v>
      </c>
      <c r="B2315" s="7" t="s">
        <v>9</v>
      </c>
      <c r="C2315" s="8">
        <v>1883</v>
      </c>
      <c r="D2315" s="9">
        <v>45395</v>
      </c>
      <c r="E2315" s="13" t="str">
        <f>+HYPERLINK("http://trademark.i-assist.jp/data/china/image_1883th/76481844.pdf","76481844")</f>
        <v>76481844</v>
      </c>
      <c r="F2315" s="7" t="s">
        <v>6328</v>
      </c>
      <c r="G2315" s="7" t="s">
        <v>6329</v>
      </c>
      <c r="H2315" s="7" t="s">
        <v>6330</v>
      </c>
      <c r="I2315" s="9">
        <v>45309</v>
      </c>
    </row>
    <row r="2316" spans="1:9" x14ac:dyDescent="0.15">
      <c r="A2316" s="6">
        <v>2315</v>
      </c>
      <c r="B2316" s="7" t="s">
        <v>9</v>
      </c>
      <c r="C2316" s="8">
        <v>1883</v>
      </c>
      <c r="D2316" s="9">
        <v>45395</v>
      </c>
      <c r="E2316" s="13" t="str">
        <f>+HYPERLINK("http://trademark.i-assist.jp/data/china/image_1883th/76481911.pdf","76481911")</f>
        <v>76481911</v>
      </c>
      <c r="F2316" s="7" t="s">
        <v>6331</v>
      </c>
      <c r="G2316" s="7" t="s">
        <v>6247</v>
      </c>
      <c r="H2316" s="7" t="s">
        <v>6332</v>
      </c>
      <c r="I2316" s="9">
        <v>45309</v>
      </c>
    </row>
    <row r="2317" spans="1:9" x14ac:dyDescent="0.15">
      <c r="A2317" s="6">
        <v>2316</v>
      </c>
      <c r="B2317" s="7" t="s">
        <v>9</v>
      </c>
      <c r="C2317" s="8">
        <v>1883</v>
      </c>
      <c r="D2317" s="9">
        <v>45395</v>
      </c>
      <c r="E2317" s="13" t="str">
        <f>+HYPERLINK("http://trademark.i-assist.jp/data/china/image_1883th/76481985.pdf","76481985")</f>
        <v>76481985</v>
      </c>
      <c r="F2317" s="7" t="s">
        <v>6333</v>
      </c>
      <c r="G2317" s="7" t="s">
        <v>6334</v>
      </c>
      <c r="H2317" s="7" t="s">
        <v>6335</v>
      </c>
      <c r="I2317" s="9">
        <v>45309</v>
      </c>
    </row>
    <row r="2318" spans="1:9" x14ac:dyDescent="0.15">
      <c r="A2318" s="6">
        <v>2317</v>
      </c>
      <c r="B2318" s="7" t="s">
        <v>9</v>
      </c>
      <c r="C2318" s="8">
        <v>1883</v>
      </c>
      <c r="D2318" s="9">
        <v>45395</v>
      </c>
      <c r="E2318" s="13" t="str">
        <f>+HYPERLINK("http://trademark.i-assist.jp/data/china/image_1883th/76482010.pdf","76482010")</f>
        <v>76482010</v>
      </c>
      <c r="F2318" s="7" t="s">
        <v>6336</v>
      </c>
      <c r="G2318" s="7" t="s">
        <v>6337</v>
      </c>
      <c r="H2318" s="7" t="s">
        <v>6338</v>
      </c>
      <c r="I2318" s="9">
        <v>45309</v>
      </c>
    </row>
    <row r="2319" spans="1:9" x14ac:dyDescent="0.15">
      <c r="A2319" s="6">
        <v>2318</v>
      </c>
      <c r="B2319" s="7" t="s">
        <v>9</v>
      </c>
      <c r="C2319" s="8">
        <v>1883</v>
      </c>
      <c r="D2319" s="9">
        <v>45395</v>
      </c>
      <c r="E2319" s="13" t="str">
        <f>+HYPERLINK("http://trademark.i-assist.jp/data/china/image_1883th/76482448.pdf","76482448")</f>
        <v>76482448</v>
      </c>
      <c r="F2319" s="7" t="s">
        <v>6339</v>
      </c>
      <c r="G2319" s="7" t="s">
        <v>6340</v>
      </c>
      <c r="H2319" s="7" t="s">
        <v>6341</v>
      </c>
      <c r="I2319" s="9">
        <v>45310</v>
      </c>
    </row>
    <row r="2320" spans="1:9" ht="27" x14ac:dyDescent="0.15">
      <c r="A2320" s="6">
        <v>2319</v>
      </c>
      <c r="B2320" s="7" t="s">
        <v>9</v>
      </c>
      <c r="C2320" s="8">
        <v>1883</v>
      </c>
      <c r="D2320" s="9">
        <v>45395</v>
      </c>
      <c r="E2320" s="13" t="str">
        <f>+HYPERLINK("http://trademark.i-assist.jp/data/china/image_1883th/76482569.pdf","76482569")</f>
        <v>76482569</v>
      </c>
      <c r="F2320" s="7" t="s">
        <v>6342</v>
      </c>
      <c r="G2320" s="7" t="s">
        <v>6288</v>
      </c>
      <c r="H2320" s="7" t="s">
        <v>6343</v>
      </c>
      <c r="I2320" s="9">
        <v>45310</v>
      </c>
    </row>
    <row r="2321" spans="1:9" x14ac:dyDescent="0.15">
      <c r="A2321" s="6">
        <v>2320</v>
      </c>
      <c r="B2321" s="7" t="s">
        <v>9</v>
      </c>
      <c r="C2321" s="8">
        <v>1883</v>
      </c>
      <c r="D2321" s="9">
        <v>45395</v>
      </c>
      <c r="E2321" s="13" t="str">
        <f>+HYPERLINK("http://trademark.i-assist.jp/data/china/image_1883th/76482639.pdf","76482639")</f>
        <v>76482639</v>
      </c>
      <c r="F2321" s="7" t="s">
        <v>6344</v>
      </c>
      <c r="G2321" s="7" t="s">
        <v>6345</v>
      </c>
      <c r="H2321" s="7" t="s">
        <v>6346</v>
      </c>
      <c r="I2321" s="9">
        <v>45310</v>
      </c>
    </row>
    <row r="2322" spans="1:9" x14ac:dyDescent="0.15">
      <c r="A2322" s="6">
        <v>2321</v>
      </c>
      <c r="B2322" s="7" t="s">
        <v>9</v>
      </c>
      <c r="C2322" s="8">
        <v>1883</v>
      </c>
      <c r="D2322" s="9">
        <v>45395</v>
      </c>
      <c r="E2322" s="13" t="str">
        <f>+HYPERLINK("http://trademark.i-assist.jp/data/china/image_1883th/76482743.pdf","76482743")</f>
        <v>76482743</v>
      </c>
      <c r="F2322" s="7" t="s">
        <v>6347</v>
      </c>
      <c r="G2322" s="7" t="s">
        <v>6348</v>
      </c>
      <c r="H2322" s="7" t="s">
        <v>6349</v>
      </c>
      <c r="I2322" s="9">
        <v>45310</v>
      </c>
    </row>
    <row r="2323" spans="1:9" x14ac:dyDescent="0.15">
      <c r="A2323" s="6">
        <v>2322</v>
      </c>
      <c r="B2323" s="7" t="s">
        <v>9</v>
      </c>
      <c r="C2323" s="8">
        <v>1883</v>
      </c>
      <c r="D2323" s="9">
        <v>45395</v>
      </c>
      <c r="E2323" s="13" t="str">
        <f>+HYPERLINK("http://trademark.i-assist.jp/data/china/image_1883th/76483207.pdf","76483207")</f>
        <v>76483207</v>
      </c>
      <c r="F2323" s="7" t="s">
        <v>6350</v>
      </c>
      <c r="G2323" s="7" t="s">
        <v>6351</v>
      </c>
      <c r="H2323" s="7" t="s">
        <v>6352</v>
      </c>
      <c r="I2323" s="9">
        <v>45310</v>
      </c>
    </row>
    <row r="2324" spans="1:9" ht="27" x14ac:dyDescent="0.15">
      <c r="A2324" s="6">
        <v>2323</v>
      </c>
      <c r="B2324" s="7" t="s">
        <v>9</v>
      </c>
      <c r="C2324" s="8">
        <v>1883</v>
      </c>
      <c r="D2324" s="9">
        <v>45395</v>
      </c>
      <c r="E2324" s="13" t="str">
        <f>+HYPERLINK("http://trademark.i-assist.jp/data/china/image_1883th/76483386.pdf","76483386")</f>
        <v>76483386</v>
      </c>
      <c r="F2324" s="7" t="s">
        <v>6353</v>
      </c>
      <c r="G2324" s="7" t="s">
        <v>6354</v>
      </c>
      <c r="H2324" s="7" t="s">
        <v>6355</v>
      </c>
      <c r="I2324" s="9">
        <v>45310</v>
      </c>
    </row>
    <row r="2325" spans="1:9" ht="27" x14ac:dyDescent="0.15">
      <c r="A2325" s="6">
        <v>2324</v>
      </c>
      <c r="B2325" s="7" t="s">
        <v>9</v>
      </c>
      <c r="C2325" s="8">
        <v>1883</v>
      </c>
      <c r="D2325" s="9">
        <v>45395</v>
      </c>
      <c r="E2325" s="13" t="str">
        <f>+HYPERLINK("http://trademark.i-assist.jp/data/china/image_1883th/76483568.pdf","76483568")</f>
        <v>76483568</v>
      </c>
      <c r="F2325" s="7" t="s">
        <v>6356</v>
      </c>
      <c r="G2325" s="7" t="s">
        <v>6357</v>
      </c>
      <c r="H2325" s="7" t="s">
        <v>6358</v>
      </c>
      <c r="I2325" s="9">
        <v>45310</v>
      </c>
    </row>
    <row r="2326" spans="1:9" x14ac:dyDescent="0.15">
      <c r="A2326" s="6">
        <v>2325</v>
      </c>
      <c r="B2326" s="7" t="s">
        <v>9</v>
      </c>
      <c r="C2326" s="8">
        <v>1883</v>
      </c>
      <c r="D2326" s="9">
        <v>45395</v>
      </c>
      <c r="E2326" s="13" t="str">
        <f>+HYPERLINK("http://trademark.i-assist.jp/data/china/image_1883th/76483577.pdf","76483577")</f>
        <v>76483577</v>
      </c>
      <c r="F2326" s="7" t="s">
        <v>6359</v>
      </c>
      <c r="G2326" s="7" t="s">
        <v>6360</v>
      </c>
      <c r="H2326" s="7" t="s">
        <v>6361</v>
      </c>
      <c r="I2326" s="9">
        <v>45310</v>
      </c>
    </row>
    <row r="2327" spans="1:9" x14ac:dyDescent="0.15">
      <c r="A2327" s="6">
        <v>2326</v>
      </c>
      <c r="B2327" s="7" t="s">
        <v>9</v>
      </c>
      <c r="C2327" s="8">
        <v>1883</v>
      </c>
      <c r="D2327" s="9">
        <v>45395</v>
      </c>
      <c r="E2327" s="13" t="str">
        <f>+HYPERLINK("http://trademark.i-assist.jp/data/china/image_1883th/76483638.pdf","76483638")</f>
        <v>76483638</v>
      </c>
      <c r="F2327" s="7" t="s">
        <v>6362</v>
      </c>
      <c r="G2327" s="7" t="s">
        <v>6363</v>
      </c>
      <c r="H2327" s="7" t="s">
        <v>6364</v>
      </c>
      <c r="I2327" s="9">
        <v>45310</v>
      </c>
    </row>
    <row r="2328" spans="1:9" ht="27" x14ac:dyDescent="0.15">
      <c r="A2328" s="6">
        <v>2327</v>
      </c>
      <c r="B2328" s="7" t="s">
        <v>9</v>
      </c>
      <c r="C2328" s="8">
        <v>1883</v>
      </c>
      <c r="D2328" s="9">
        <v>45395</v>
      </c>
      <c r="E2328" s="13" t="str">
        <f>+HYPERLINK("http://trademark.i-assist.jp/data/china/image_1883th/76483708.pdf","76483708")</f>
        <v>76483708</v>
      </c>
      <c r="F2328" s="7" t="s">
        <v>6365</v>
      </c>
      <c r="G2328" s="7" t="s">
        <v>6366</v>
      </c>
      <c r="H2328" s="7" t="s">
        <v>6367</v>
      </c>
      <c r="I2328" s="9">
        <v>45310</v>
      </c>
    </row>
    <row r="2329" spans="1:9" x14ac:dyDescent="0.15">
      <c r="A2329" s="6">
        <v>2328</v>
      </c>
      <c r="B2329" s="7" t="s">
        <v>9</v>
      </c>
      <c r="C2329" s="8">
        <v>1883</v>
      </c>
      <c r="D2329" s="9">
        <v>45395</v>
      </c>
      <c r="E2329" s="13" t="str">
        <f>+HYPERLINK("http://trademark.i-assist.jp/data/china/image_1883th/76483888.pdf","76483888")</f>
        <v>76483888</v>
      </c>
      <c r="F2329" s="7" t="s">
        <v>6368</v>
      </c>
      <c r="G2329" s="7" t="s">
        <v>6369</v>
      </c>
      <c r="H2329" s="7" t="s">
        <v>6370</v>
      </c>
      <c r="I2329" s="9">
        <v>45309</v>
      </c>
    </row>
    <row r="2330" spans="1:9" x14ac:dyDescent="0.15">
      <c r="A2330" s="6">
        <v>2329</v>
      </c>
      <c r="B2330" s="7" t="s">
        <v>9</v>
      </c>
      <c r="C2330" s="8">
        <v>1883</v>
      </c>
      <c r="D2330" s="9">
        <v>45395</v>
      </c>
      <c r="E2330" s="13" t="str">
        <f>+HYPERLINK("http://trademark.i-assist.jp/data/china/image_1883th/76484108.pdf","76484108")</f>
        <v>76484108</v>
      </c>
      <c r="F2330" s="7" t="s">
        <v>6371</v>
      </c>
      <c r="G2330" s="7" t="s">
        <v>6372</v>
      </c>
      <c r="H2330" s="7" t="s">
        <v>6373</v>
      </c>
      <c r="I2330" s="9">
        <v>45309</v>
      </c>
    </row>
    <row r="2331" spans="1:9" x14ac:dyDescent="0.15">
      <c r="A2331" s="6">
        <v>2330</v>
      </c>
      <c r="B2331" s="7" t="s">
        <v>9</v>
      </c>
      <c r="C2331" s="8">
        <v>1883</v>
      </c>
      <c r="D2331" s="9">
        <v>45395</v>
      </c>
      <c r="E2331" s="13" t="str">
        <f>+HYPERLINK("http://trademark.i-assist.jp/data/china/image_1883th/76484191.pdf","76484191")</f>
        <v>76484191</v>
      </c>
      <c r="F2331" s="7" t="s">
        <v>6295</v>
      </c>
      <c r="G2331" s="7" t="s">
        <v>6092</v>
      </c>
      <c r="H2331" s="7" t="s">
        <v>6374</v>
      </c>
      <c r="I2331" s="9">
        <v>45309</v>
      </c>
    </row>
    <row r="2332" spans="1:9" x14ac:dyDescent="0.15">
      <c r="A2332" s="6">
        <v>2331</v>
      </c>
      <c r="B2332" s="7" t="s">
        <v>9</v>
      </c>
      <c r="C2332" s="8">
        <v>1883</v>
      </c>
      <c r="D2332" s="9">
        <v>45395</v>
      </c>
      <c r="E2332" s="13" t="str">
        <f>+HYPERLINK("http://trademark.i-assist.jp/data/china/image_1883th/76484314.pdf","76484314")</f>
        <v>76484314</v>
      </c>
      <c r="F2332" s="7" t="s">
        <v>6375</v>
      </c>
      <c r="G2332" s="7" t="s">
        <v>6376</v>
      </c>
      <c r="H2332" s="7" t="s">
        <v>6377</v>
      </c>
      <c r="I2332" s="9">
        <v>45309</v>
      </c>
    </row>
    <row r="2333" spans="1:9" x14ac:dyDescent="0.15">
      <c r="A2333" s="6">
        <v>2332</v>
      </c>
      <c r="B2333" s="7" t="s">
        <v>9</v>
      </c>
      <c r="C2333" s="8">
        <v>1883</v>
      </c>
      <c r="D2333" s="9">
        <v>45395</v>
      </c>
      <c r="E2333" s="13" t="str">
        <f>+HYPERLINK("http://trademark.i-assist.jp/data/china/image_1883th/76484379.pdf","76484379")</f>
        <v>76484379</v>
      </c>
      <c r="F2333" s="7" t="s">
        <v>6378</v>
      </c>
      <c r="G2333" s="7" t="s">
        <v>6379</v>
      </c>
      <c r="H2333" s="7" t="s">
        <v>6380</v>
      </c>
      <c r="I2333" s="9">
        <v>45309</v>
      </c>
    </row>
    <row r="2334" spans="1:9" x14ac:dyDescent="0.15">
      <c r="A2334" s="6">
        <v>2333</v>
      </c>
      <c r="B2334" s="7" t="s">
        <v>9</v>
      </c>
      <c r="C2334" s="8">
        <v>1883</v>
      </c>
      <c r="D2334" s="9">
        <v>45395</v>
      </c>
      <c r="E2334" s="13" t="str">
        <f>+HYPERLINK("http://trademark.i-assist.jp/data/china/image_1883th/76484535.pdf","76484535")</f>
        <v>76484535</v>
      </c>
      <c r="F2334" s="7" t="s">
        <v>6381</v>
      </c>
      <c r="G2334" s="7" t="s">
        <v>3624</v>
      </c>
      <c r="H2334" s="7" t="s">
        <v>6382</v>
      </c>
      <c r="I2334" s="9">
        <v>45309</v>
      </c>
    </row>
    <row r="2335" spans="1:9" x14ac:dyDescent="0.15">
      <c r="A2335" s="6">
        <v>2334</v>
      </c>
      <c r="B2335" s="7" t="s">
        <v>9</v>
      </c>
      <c r="C2335" s="8">
        <v>1883</v>
      </c>
      <c r="D2335" s="9">
        <v>45395</v>
      </c>
      <c r="E2335" s="13" t="str">
        <f>+HYPERLINK("http://trademark.i-assist.jp/data/china/image_1883th/76484597.pdf","76484597")</f>
        <v>76484597</v>
      </c>
      <c r="F2335" s="7" t="s">
        <v>6383</v>
      </c>
      <c r="G2335" s="7" t="s">
        <v>5672</v>
      </c>
      <c r="H2335" s="7" t="s">
        <v>6384</v>
      </c>
      <c r="I2335" s="9">
        <v>45309</v>
      </c>
    </row>
    <row r="2336" spans="1:9" x14ac:dyDescent="0.15">
      <c r="A2336" s="6">
        <v>2335</v>
      </c>
      <c r="B2336" s="7" t="s">
        <v>9</v>
      </c>
      <c r="C2336" s="8">
        <v>1883</v>
      </c>
      <c r="D2336" s="9">
        <v>45395</v>
      </c>
      <c r="E2336" s="13" t="str">
        <f>+HYPERLINK("http://trademark.i-assist.jp/data/china/image_1883th/76484767.pdf","76484767")</f>
        <v>76484767</v>
      </c>
      <c r="F2336" s="7" t="s">
        <v>6385</v>
      </c>
      <c r="G2336" s="7" t="s">
        <v>6386</v>
      </c>
      <c r="H2336" s="7" t="s">
        <v>6387</v>
      </c>
      <c r="I2336" s="9">
        <v>45309</v>
      </c>
    </row>
    <row r="2337" spans="1:9" x14ac:dyDescent="0.15">
      <c r="A2337" s="6">
        <v>2336</v>
      </c>
      <c r="B2337" s="7" t="s">
        <v>9</v>
      </c>
      <c r="C2337" s="8">
        <v>1883</v>
      </c>
      <c r="D2337" s="9">
        <v>45395</v>
      </c>
      <c r="E2337" s="13" t="str">
        <f>+HYPERLINK("http://trademark.i-assist.jp/data/china/image_1883th/76484807.pdf","76484807")</f>
        <v>76484807</v>
      </c>
      <c r="F2337" s="7" t="s">
        <v>6388</v>
      </c>
      <c r="G2337" s="7" t="s">
        <v>6389</v>
      </c>
      <c r="H2337" s="7" t="s">
        <v>6390</v>
      </c>
      <c r="I2337" s="9">
        <v>45309</v>
      </c>
    </row>
    <row r="2338" spans="1:9" x14ac:dyDescent="0.15">
      <c r="A2338" s="6">
        <v>2337</v>
      </c>
      <c r="B2338" s="7" t="s">
        <v>9</v>
      </c>
      <c r="C2338" s="8">
        <v>1883</v>
      </c>
      <c r="D2338" s="9">
        <v>45395</v>
      </c>
      <c r="E2338" s="13" t="str">
        <f>+HYPERLINK("http://trademark.i-assist.jp/data/china/image_1883th/76485516.pdf","76485516")</f>
        <v>76485516</v>
      </c>
      <c r="F2338" s="7" t="s">
        <v>6391</v>
      </c>
      <c r="G2338" s="7" t="s">
        <v>6392</v>
      </c>
      <c r="H2338" s="7" t="s">
        <v>6393</v>
      </c>
      <c r="I2338" s="9">
        <v>45310</v>
      </c>
    </row>
    <row r="2339" spans="1:9" x14ac:dyDescent="0.15">
      <c r="A2339" s="6">
        <v>2338</v>
      </c>
      <c r="B2339" s="7" t="s">
        <v>9</v>
      </c>
      <c r="C2339" s="8">
        <v>1883</v>
      </c>
      <c r="D2339" s="9">
        <v>45395</v>
      </c>
      <c r="E2339" s="13" t="str">
        <f>+HYPERLINK("http://trademark.i-assist.jp/data/china/image_1883th/76485538.pdf","76485538")</f>
        <v>76485538</v>
      </c>
      <c r="F2339" s="7" t="s">
        <v>6394</v>
      </c>
      <c r="G2339" s="7" t="s">
        <v>6395</v>
      </c>
      <c r="H2339" s="7" t="s">
        <v>6396</v>
      </c>
      <c r="I2339" s="9">
        <v>45310</v>
      </c>
    </row>
    <row r="2340" spans="1:9" ht="27" x14ac:dyDescent="0.15">
      <c r="A2340" s="6">
        <v>2339</v>
      </c>
      <c r="B2340" s="7" t="s">
        <v>9</v>
      </c>
      <c r="C2340" s="8">
        <v>1883</v>
      </c>
      <c r="D2340" s="9">
        <v>45395</v>
      </c>
      <c r="E2340" s="13" t="str">
        <f>+HYPERLINK("http://trademark.i-assist.jp/data/china/image_1883th/76485624.pdf","76485624")</f>
        <v>76485624</v>
      </c>
      <c r="F2340" s="7" t="s">
        <v>6397</v>
      </c>
      <c r="G2340" s="7" t="s">
        <v>6398</v>
      </c>
      <c r="H2340" s="7" t="s">
        <v>6399</v>
      </c>
      <c r="I2340" s="9">
        <v>45310</v>
      </c>
    </row>
    <row r="2341" spans="1:9" x14ac:dyDescent="0.15">
      <c r="A2341" s="6">
        <v>2340</v>
      </c>
      <c r="B2341" s="7" t="s">
        <v>9</v>
      </c>
      <c r="C2341" s="8">
        <v>1883</v>
      </c>
      <c r="D2341" s="9">
        <v>45395</v>
      </c>
      <c r="E2341" s="13" t="str">
        <f>+HYPERLINK("http://trademark.i-assist.jp/data/china/image_1883th/76485676.pdf","76485676")</f>
        <v>76485676</v>
      </c>
      <c r="F2341" s="7" t="s">
        <v>6400</v>
      </c>
      <c r="G2341" s="7" t="s">
        <v>6401</v>
      </c>
      <c r="H2341" s="7" t="s">
        <v>6402</v>
      </c>
      <c r="I2341" s="9">
        <v>45310</v>
      </c>
    </row>
    <row r="2342" spans="1:9" x14ac:dyDescent="0.15">
      <c r="A2342" s="6">
        <v>2341</v>
      </c>
      <c r="B2342" s="7" t="s">
        <v>9</v>
      </c>
      <c r="C2342" s="8">
        <v>1883</v>
      </c>
      <c r="D2342" s="9">
        <v>45395</v>
      </c>
      <c r="E2342" s="13" t="str">
        <f>+HYPERLINK("http://trademark.i-assist.jp/data/china/image_1883th/76485739.pdf","76485739")</f>
        <v>76485739</v>
      </c>
      <c r="F2342" s="7" t="s">
        <v>6403</v>
      </c>
      <c r="G2342" s="7" t="s">
        <v>6404</v>
      </c>
      <c r="H2342" s="7" t="s">
        <v>6405</v>
      </c>
      <c r="I2342" s="9">
        <v>45310</v>
      </c>
    </row>
    <row r="2343" spans="1:9" x14ac:dyDescent="0.15">
      <c r="A2343" s="6">
        <v>2342</v>
      </c>
      <c r="B2343" s="7" t="s">
        <v>9</v>
      </c>
      <c r="C2343" s="8">
        <v>1883</v>
      </c>
      <c r="D2343" s="9">
        <v>45395</v>
      </c>
      <c r="E2343" s="13" t="str">
        <f>+HYPERLINK("http://trademark.i-assist.jp/data/china/image_1883th/76485843.pdf","76485843")</f>
        <v>76485843</v>
      </c>
      <c r="F2343" s="7" t="s">
        <v>6406</v>
      </c>
      <c r="G2343" s="7" t="s">
        <v>6407</v>
      </c>
      <c r="H2343" s="7" t="s">
        <v>6408</v>
      </c>
      <c r="I2343" s="9">
        <v>45310</v>
      </c>
    </row>
    <row r="2344" spans="1:9" x14ac:dyDescent="0.15">
      <c r="A2344" s="6">
        <v>2343</v>
      </c>
      <c r="B2344" s="7" t="s">
        <v>9</v>
      </c>
      <c r="C2344" s="8">
        <v>1883</v>
      </c>
      <c r="D2344" s="9">
        <v>45395</v>
      </c>
      <c r="E2344" s="13" t="str">
        <f>+HYPERLINK("http://trademark.i-assist.jp/data/china/image_1883th/76485935.pdf","76485935")</f>
        <v>76485935</v>
      </c>
      <c r="F2344" s="7" t="s">
        <v>6409</v>
      </c>
      <c r="G2344" s="7" t="s">
        <v>6410</v>
      </c>
      <c r="H2344" s="7" t="s">
        <v>6411</v>
      </c>
      <c r="I2344" s="9">
        <v>45310</v>
      </c>
    </row>
    <row r="2345" spans="1:9" ht="27" x14ac:dyDescent="0.15">
      <c r="A2345" s="6">
        <v>2344</v>
      </c>
      <c r="B2345" s="7" t="s">
        <v>9</v>
      </c>
      <c r="C2345" s="8">
        <v>1883</v>
      </c>
      <c r="D2345" s="9">
        <v>45395</v>
      </c>
      <c r="E2345" s="13" t="str">
        <f>+HYPERLINK("http://trademark.i-assist.jp/data/china/image_1883th/76485963.pdf","76485963")</f>
        <v>76485963</v>
      </c>
      <c r="F2345" s="7" t="s">
        <v>6412</v>
      </c>
      <c r="G2345" s="7" t="s">
        <v>6413</v>
      </c>
      <c r="H2345" s="7" t="s">
        <v>6414</v>
      </c>
      <c r="I2345" s="9">
        <v>45310</v>
      </c>
    </row>
    <row r="2346" spans="1:9" x14ac:dyDescent="0.15">
      <c r="A2346" s="6">
        <v>2345</v>
      </c>
      <c r="B2346" s="7" t="s">
        <v>9</v>
      </c>
      <c r="C2346" s="8">
        <v>1883</v>
      </c>
      <c r="D2346" s="9">
        <v>45395</v>
      </c>
      <c r="E2346" s="13" t="str">
        <f>+HYPERLINK("http://trademark.i-assist.jp/data/china/image_1883th/76486210.pdf","76486210")</f>
        <v>76486210</v>
      </c>
      <c r="F2346" s="7" t="s">
        <v>6415</v>
      </c>
      <c r="G2346" s="7" t="s">
        <v>6416</v>
      </c>
      <c r="H2346" s="7" t="s">
        <v>6417</v>
      </c>
      <c r="I2346" s="9">
        <v>45310</v>
      </c>
    </row>
    <row r="2347" spans="1:9" ht="27" x14ac:dyDescent="0.15">
      <c r="A2347" s="6">
        <v>2346</v>
      </c>
      <c r="B2347" s="7" t="s">
        <v>9</v>
      </c>
      <c r="C2347" s="8">
        <v>1883</v>
      </c>
      <c r="D2347" s="9">
        <v>45395</v>
      </c>
      <c r="E2347" s="13" t="str">
        <f>+HYPERLINK("http://trademark.i-assist.jp/data/china/image_1883th/76486271.pdf","76486271")</f>
        <v>76486271</v>
      </c>
      <c r="F2347" s="7" t="s">
        <v>6418</v>
      </c>
      <c r="G2347" s="7" t="s">
        <v>6419</v>
      </c>
      <c r="H2347" s="7" t="s">
        <v>6420</v>
      </c>
      <c r="I2347" s="9">
        <v>45310</v>
      </c>
    </row>
    <row r="2348" spans="1:9" ht="27" x14ac:dyDescent="0.15">
      <c r="A2348" s="6">
        <v>2347</v>
      </c>
      <c r="B2348" s="7" t="s">
        <v>9</v>
      </c>
      <c r="C2348" s="8">
        <v>1883</v>
      </c>
      <c r="D2348" s="9">
        <v>45395</v>
      </c>
      <c r="E2348" s="13" t="str">
        <f>+HYPERLINK("http://trademark.i-assist.jp/data/china/image_1883th/76486347.pdf","76486347")</f>
        <v>76486347</v>
      </c>
      <c r="F2348" s="7" t="s">
        <v>6421</v>
      </c>
      <c r="G2348" s="7" t="s">
        <v>6422</v>
      </c>
      <c r="H2348" s="7" t="s">
        <v>6423</v>
      </c>
      <c r="I2348" s="9">
        <v>45310</v>
      </c>
    </row>
    <row r="2349" spans="1:9" x14ac:dyDescent="0.15">
      <c r="A2349" s="6">
        <v>2348</v>
      </c>
      <c r="B2349" s="7" t="s">
        <v>9</v>
      </c>
      <c r="C2349" s="8">
        <v>1883</v>
      </c>
      <c r="D2349" s="9">
        <v>45395</v>
      </c>
      <c r="E2349" s="13" t="str">
        <f>+HYPERLINK("http://trademark.i-assist.jp/data/china/image_1883th/76486470.pdf","76486470")</f>
        <v>76486470</v>
      </c>
      <c r="F2349" s="7" t="s">
        <v>6424</v>
      </c>
      <c r="G2349" s="7" t="s">
        <v>6425</v>
      </c>
      <c r="H2349" s="7" t="s">
        <v>6426</v>
      </c>
      <c r="I2349" s="9">
        <v>45310</v>
      </c>
    </row>
    <row r="2350" spans="1:9" x14ac:dyDescent="0.15">
      <c r="A2350" s="6">
        <v>2349</v>
      </c>
      <c r="B2350" s="7" t="s">
        <v>9</v>
      </c>
      <c r="C2350" s="8">
        <v>1883</v>
      </c>
      <c r="D2350" s="9">
        <v>45395</v>
      </c>
      <c r="E2350" s="13" t="str">
        <f>+HYPERLINK("http://trademark.i-assist.jp/data/china/image_1883th/76486719.pdf","76486719")</f>
        <v>76486719</v>
      </c>
      <c r="F2350" s="7" t="s">
        <v>6427</v>
      </c>
      <c r="G2350" s="7" t="s">
        <v>6428</v>
      </c>
      <c r="H2350" s="7" t="s">
        <v>6429</v>
      </c>
      <c r="I2350" s="9">
        <v>45310</v>
      </c>
    </row>
    <row r="2351" spans="1:9" x14ac:dyDescent="0.15">
      <c r="A2351" s="6">
        <v>2350</v>
      </c>
      <c r="B2351" s="7" t="s">
        <v>9</v>
      </c>
      <c r="C2351" s="8">
        <v>1883</v>
      </c>
      <c r="D2351" s="9">
        <v>45395</v>
      </c>
      <c r="E2351" s="13" t="str">
        <f>+HYPERLINK("http://trademark.i-assist.jp/data/china/image_1883th/76486963.pdf","76486963")</f>
        <v>76486963</v>
      </c>
      <c r="F2351" s="7" t="s">
        <v>6430</v>
      </c>
      <c r="G2351" s="7" t="s">
        <v>6431</v>
      </c>
      <c r="H2351" s="7" t="s">
        <v>6432</v>
      </c>
      <c r="I2351" s="9">
        <v>45310</v>
      </c>
    </row>
    <row r="2352" spans="1:9" x14ac:dyDescent="0.15">
      <c r="A2352" s="6">
        <v>2351</v>
      </c>
      <c r="B2352" s="7" t="s">
        <v>9</v>
      </c>
      <c r="C2352" s="8">
        <v>1883</v>
      </c>
      <c r="D2352" s="9">
        <v>45395</v>
      </c>
      <c r="E2352" s="13" t="str">
        <f>+HYPERLINK("http://trademark.i-assist.jp/data/china/image_1883th/76486994.pdf","76486994")</f>
        <v>76486994</v>
      </c>
      <c r="F2352" s="7" t="s">
        <v>6433</v>
      </c>
      <c r="G2352" s="7" t="s">
        <v>6434</v>
      </c>
      <c r="H2352" s="7" t="s">
        <v>6435</v>
      </c>
      <c r="I2352" s="9">
        <v>45310</v>
      </c>
    </row>
    <row r="2353" spans="1:9" x14ac:dyDescent="0.15">
      <c r="A2353" s="6">
        <v>2352</v>
      </c>
      <c r="B2353" s="7" t="s">
        <v>9</v>
      </c>
      <c r="C2353" s="8">
        <v>1883</v>
      </c>
      <c r="D2353" s="9">
        <v>45395</v>
      </c>
      <c r="E2353" s="13" t="str">
        <f>+HYPERLINK("http://trademark.i-assist.jp/data/china/image_1883th/76487015.pdf","76487015")</f>
        <v>76487015</v>
      </c>
      <c r="F2353" s="7" t="s">
        <v>6436</v>
      </c>
      <c r="G2353" s="7" t="s">
        <v>6437</v>
      </c>
      <c r="H2353" s="7" t="s">
        <v>6438</v>
      </c>
      <c r="I2353" s="9">
        <v>45310</v>
      </c>
    </row>
    <row r="2354" spans="1:9" x14ac:dyDescent="0.15">
      <c r="A2354" s="6">
        <v>2353</v>
      </c>
      <c r="B2354" s="7" t="s">
        <v>9</v>
      </c>
      <c r="C2354" s="8">
        <v>1883</v>
      </c>
      <c r="D2354" s="9">
        <v>45395</v>
      </c>
      <c r="E2354" s="13" t="str">
        <f>+HYPERLINK("http://trademark.i-assist.jp/data/china/image_1883th/76487256.pdf","76487256")</f>
        <v>76487256</v>
      </c>
      <c r="F2354" s="7" t="s">
        <v>6439</v>
      </c>
      <c r="G2354" s="7" t="s">
        <v>6440</v>
      </c>
      <c r="H2354" s="7" t="s">
        <v>6441</v>
      </c>
      <c r="I2354" s="9">
        <v>45310</v>
      </c>
    </row>
    <row r="2355" spans="1:9" x14ac:dyDescent="0.15">
      <c r="A2355" s="6">
        <v>2354</v>
      </c>
      <c r="B2355" s="7" t="s">
        <v>9</v>
      </c>
      <c r="C2355" s="8">
        <v>1883</v>
      </c>
      <c r="D2355" s="9">
        <v>45395</v>
      </c>
      <c r="E2355" s="13" t="str">
        <f>+HYPERLINK("http://trademark.i-assist.jp/data/china/image_1883th/76487405.pdf","76487405")</f>
        <v>76487405</v>
      </c>
      <c r="F2355" s="7" t="s">
        <v>6442</v>
      </c>
      <c r="G2355" s="7" t="s">
        <v>6152</v>
      </c>
      <c r="H2355" s="7" t="s">
        <v>6443</v>
      </c>
      <c r="I2355" s="9">
        <v>45310</v>
      </c>
    </row>
    <row r="2356" spans="1:9" x14ac:dyDescent="0.15">
      <c r="A2356" s="6">
        <v>2355</v>
      </c>
      <c r="B2356" s="7" t="s">
        <v>9</v>
      </c>
      <c r="C2356" s="8">
        <v>1883</v>
      </c>
      <c r="D2356" s="9">
        <v>45395</v>
      </c>
      <c r="E2356" s="13" t="str">
        <f>+HYPERLINK("http://trademark.i-assist.jp/data/china/image_1883th/76487504.pdf","76487504")</f>
        <v>76487504</v>
      </c>
      <c r="F2356" s="7" t="s">
        <v>6444</v>
      </c>
      <c r="G2356" s="7" t="s">
        <v>6445</v>
      </c>
      <c r="H2356" s="7" t="s">
        <v>6446</v>
      </c>
      <c r="I2356" s="9">
        <v>45310</v>
      </c>
    </row>
    <row r="2357" spans="1:9" x14ac:dyDescent="0.15">
      <c r="A2357" s="6">
        <v>2356</v>
      </c>
      <c r="B2357" s="7" t="s">
        <v>9</v>
      </c>
      <c r="C2357" s="8">
        <v>1883</v>
      </c>
      <c r="D2357" s="9">
        <v>45395</v>
      </c>
      <c r="E2357" s="13" t="str">
        <f>+HYPERLINK("http://trademark.i-assist.jp/data/china/image_1883th/76487556.pdf","76487556")</f>
        <v>76487556</v>
      </c>
      <c r="F2357" s="7" t="s">
        <v>6447</v>
      </c>
      <c r="G2357" s="7" t="s">
        <v>4079</v>
      </c>
      <c r="H2357" s="7" t="s">
        <v>6448</v>
      </c>
      <c r="I2357" s="9">
        <v>45310</v>
      </c>
    </row>
    <row r="2358" spans="1:9" x14ac:dyDescent="0.15">
      <c r="A2358" s="6">
        <v>2357</v>
      </c>
      <c r="B2358" s="7" t="s">
        <v>9</v>
      </c>
      <c r="C2358" s="8">
        <v>1883</v>
      </c>
      <c r="D2358" s="9">
        <v>45395</v>
      </c>
      <c r="E2358" s="13" t="str">
        <f>+HYPERLINK("http://trademark.i-assist.jp/data/china/image_1883th/76487558.pdf","76487558")</f>
        <v>76487558</v>
      </c>
      <c r="F2358" s="7" t="s">
        <v>57</v>
      </c>
      <c r="G2358" s="7" t="s">
        <v>6449</v>
      </c>
      <c r="H2358" s="7" t="s">
        <v>6450</v>
      </c>
      <c r="I2358" s="9">
        <v>45310</v>
      </c>
    </row>
    <row r="2359" spans="1:9" x14ac:dyDescent="0.15">
      <c r="A2359" s="6">
        <v>2358</v>
      </c>
      <c r="B2359" s="7" t="s">
        <v>9</v>
      </c>
      <c r="C2359" s="8">
        <v>1883</v>
      </c>
      <c r="D2359" s="9">
        <v>45395</v>
      </c>
      <c r="E2359" s="13" t="str">
        <f>+HYPERLINK("http://trademark.i-assist.jp/data/china/image_1883th/76487601.pdf","76487601")</f>
        <v>76487601</v>
      </c>
      <c r="F2359" s="7" t="s">
        <v>6451</v>
      </c>
      <c r="G2359" s="7" t="s">
        <v>6452</v>
      </c>
      <c r="H2359" s="7" t="s">
        <v>6453</v>
      </c>
      <c r="I2359" s="9">
        <v>45310</v>
      </c>
    </row>
    <row r="2360" spans="1:9" x14ac:dyDescent="0.15">
      <c r="A2360" s="6">
        <v>2359</v>
      </c>
      <c r="B2360" s="7" t="s">
        <v>9</v>
      </c>
      <c r="C2360" s="8">
        <v>1883</v>
      </c>
      <c r="D2360" s="9">
        <v>45395</v>
      </c>
      <c r="E2360" s="13" t="str">
        <f>+HYPERLINK("http://trademark.i-assist.jp/data/china/image_1883th/76487843.pdf","76487843")</f>
        <v>76487843</v>
      </c>
      <c r="F2360" s="7" t="s">
        <v>6454</v>
      </c>
      <c r="G2360" s="7" t="s">
        <v>6455</v>
      </c>
      <c r="H2360" s="7" t="s">
        <v>6456</v>
      </c>
      <c r="I2360" s="9">
        <v>45310</v>
      </c>
    </row>
    <row r="2361" spans="1:9" x14ac:dyDescent="0.15">
      <c r="A2361" s="6">
        <v>2360</v>
      </c>
      <c r="B2361" s="7" t="s">
        <v>9</v>
      </c>
      <c r="C2361" s="8">
        <v>1883</v>
      </c>
      <c r="D2361" s="9">
        <v>45395</v>
      </c>
      <c r="E2361" s="13" t="str">
        <f>+HYPERLINK("http://trademark.i-assist.jp/data/china/image_1883th/76487873.pdf","76487873")</f>
        <v>76487873</v>
      </c>
      <c r="F2361" s="7" t="s">
        <v>6457</v>
      </c>
      <c r="G2361" s="7" t="s">
        <v>6458</v>
      </c>
      <c r="H2361" s="7" t="s">
        <v>6459</v>
      </c>
      <c r="I2361" s="9">
        <v>45310</v>
      </c>
    </row>
    <row r="2362" spans="1:9" x14ac:dyDescent="0.15">
      <c r="A2362" s="6">
        <v>2361</v>
      </c>
      <c r="B2362" s="7" t="s">
        <v>9</v>
      </c>
      <c r="C2362" s="8">
        <v>1883</v>
      </c>
      <c r="D2362" s="9">
        <v>45395</v>
      </c>
      <c r="E2362" s="13" t="str">
        <f>+HYPERLINK("http://trademark.i-assist.jp/data/china/image_1883th/76487890.pdf","76487890")</f>
        <v>76487890</v>
      </c>
      <c r="F2362" s="7" t="s">
        <v>6460</v>
      </c>
      <c r="G2362" s="7" t="s">
        <v>6461</v>
      </c>
      <c r="H2362" s="7" t="s">
        <v>6462</v>
      </c>
      <c r="I2362" s="9">
        <v>45310</v>
      </c>
    </row>
    <row r="2363" spans="1:9" x14ac:dyDescent="0.15">
      <c r="A2363" s="6">
        <v>2362</v>
      </c>
      <c r="B2363" s="7" t="s">
        <v>9</v>
      </c>
      <c r="C2363" s="8">
        <v>1883</v>
      </c>
      <c r="D2363" s="9">
        <v>45395</v>
      </c>
      <c r="E2363" s="13" t="str">
        <f>+HYPERLINK("http://trademark.i-assist.jp/data/china/image_1883th/76487913.pdf","76487913")</f>
        <v>76487913</v>
      </c>
      <c r="F2363" s="7" t="s">
        <v>6463</v>
      </c>
      <c r="G2363" s="7" t="s">
        <v>4364</v>
      </c>
      <c r="H2363" s="7" t="s">
        <v>6464</v>
      </c>
      <c r="I2363" s="9">
        <v>45310</v>
      </c>
    </row>
    <row r="2364" spans="1:9" x14ac:dyDescent="0.15">
      <c r="A2364" s="6">
        <v>2363</v>
      </c>
      <c r="B2364" s="7" t="s">
        <v>9</v>
      </c>
      <c r="C2364" s="8">
        <v>1883</v>
      </c>
      <c r="D2364" s="9">
        <v>45395</v>
      </c>
      <c r="E2364" s="13" t="str">
        <f>+HYPERLINK("http://trademark.i-assist.jp/data/china/image_1883th/76487946.pdf","76487946")</f>
        <v>76487946</v>
      </c>
      <c r="F2364" s="7" t="s">
        <v>6465</v>
      </c>
      <c r="G2364" s="7" t="s">
        <v>6466</v>
      </c>
      <c r="H2364" s="7" t="s">
        <v>6467</v>
      </c>
      <c r="I2364" s="9">
        <v>45310</v>
      </c>
    </row>
    <row r="2365" spans="1:9" ht="27" x14ac:dyDescent="0.15">
      <c r="A2365" s="6">
        <v>2364</v>
      </c>
      <c r="B2365" s="7" t="s">
        <v>9</v>
      </c>
      <c r="C2365" s="8">
        <v>1883</v>
      </c>
      <c r="D2365" s="9">
        <v>45395</v>
      </c>
      <c r="E2365" s="13" t="str">
        <f>+HYPERLINK("http://trademark.i-assist.jp/data/china/image_1883th/76487964.pdf","76487964")</f>
        <v>76487964</v>
      </c>
      <c r="F2365" s="7" t="s">
        <v>6468</v>
      </c>
      <c r="G2365" s="7" t="s">
        <v>6469</v>
      </c>
      <c r="H2365" s="7" t="s">
        <v>6470</v>
      </c>
      <c r="I2365" s="9">
        <v>45310</v>
      </c>
    </row>
    <row r="2366" spans="1:9" ht="27" x14ac:dyDescent="0.15">
      <c r="A2366" s="6">
        <v>2365</v>
      </c>
      <c r="B2366" s="7" t="s">
        <v>9</v>
      </c>
      <c r="C2366" s="8">
        <v>1883</v>
      </c>
      <c r="D2366" s="9">
        <v>45395</v>
      </c>
      <c r="E2366" s="13" t="str">
        <f>+HYPERLINK("http://trademark.i-assist.jp/data/china/image_1883th/76488054.pdf","76488054")</f>
        <v>76488054</v>
      </c>
      <c r="F2366" s="7" t="s">
        <v>6471</v>
      </c>
      <c r="G2366" s="7" t="s">
        <v>6472</v>
      </c>
      <c r="H2366" s="7" t="s">
        <v>6473</v>
      </c>
      <c r="I2366" s="9">
        <v>45310</v>
      </c>
    </row>
    <row r="2367" spans="1:9" x14ac:dyDescent="0.15">
      <c r="A2367" s="6">
        <v>2366</v>
      </c>
      <c r="B2367" s="7" t="s">
        <v>9</v>
      </c>
      <c r="C2367" s="8">
        <v>1883</v>
      </c>
      <c r="D2367" s="9">
        <v>45395</v>
      </c>
      <c r="E2367" s="13" t="str">
        <f>+HYPERLINK("http://trademark.i-assist.jp/data/china/image_1883th/76488100.pdf","76488100")</f>
        <v>76488100</v>
      </c>
      <c r="F2367" s="7" t="s">
        <v>6474</v>
      </c>
      <c r="G2367" s="7" t="s">
        <v>6475</v>
      </c>
      <c r="H2367" s="7" t="s">
        <v>6476</v>
      </c>
      <c r="I2367" s="9">
        <v>45310</v>
      </c>
    </row>
    <row r="2368" spans="1:9" ht="27" x14ac:dyDescent="0.15">
      <c r="A2368" s="6">
        <v>2367</v>
      </c>
      <c r="B2368" s="7" t="s">
        <v>9</v>
      </c>
      <c r="C2368" s="8">
        <v>1883</v>
      </c>
      <c r="D2368" s="9">
        <v>45395</v>
      </c>
      <c r="E2368" s="13" t="str">
        <f>+HYPERLINK("http://trademark.i-assist.jp/data/china/image_1883th/76488128.pdf","76488128")</f>
        <v>76488128</v>
      </c>
      <c r="F2368" s="7" t="s">
        <v>6477</v>
      </c>
      <c r="G2368" s="7" t="s">
        <v>6478</v>
      </c>
      <c r="H2368" s="7" t="s">
        <v>6479</v>
      </c>
      <c r="I2368" s="9">
        <v>45310</v>
      </c>
    </row>
    <row r="2369" spans="1:9" x14ac:dyDescent="0.15">
      <c r="A2369" s="6">
        <v>2368</v>
      </c>
      <c r="B2369" s="7" t="s">
        <v>9</v>
      </c>
      <c r="C2369" s="8">
        <v>1883</v>
      </c>
      <c r="D2369" s="9">
        <v>45395</v>
      </c>
      <c r="E2369" s="13" t="str">
        <f>+HYPERLINK("http://trademark.i-assist.jp/data/china/image_1883th/76488200.pdf","76488200")</f>
        <v>76488200</v>
      </c>
      <c r="F2369" s="7" t="s">
        <v>6480</v>
      </c>
      <c r="G2369" s="7" t="s">
        <v>6481</v>
      </c>
      <c r="H2369" s="7" t="s">
        <v>6482</v>
      </c>
      <c r="I2369" s="9">
        <v>45310</v>
      </c>
    </row>
    <row r="2370" spans="1:9" x14ac:dyDescent="0.15">
      <c r="A2370" s="6">
        <v>2369</v>
      </c>
      <c r="B2370" s="7" t="s">
        <v>9</v>
      </c>
      <c r="C2370" s="8">
        <v>1883</v>
      </c>
      <c r="D2370" s="9">
        <v>45395</v>
      </c>
      <c r="E2370" s="13" t="str">
        <f>+HYPERLINK("http://trademark.i-assist.jp/data/china/image_1883th/76488258.pdf","76488258")</f>
        <v>76488258</v>
      </c>
      <c r="F2370" s="7" t="s">
        <v>6483</v>
      </c>
      <c r="G2370" s="7" t="s">
        <v>6045</v>
      </c>
      <c r="H2370" s="7" t="s">
        <v>6484</v>
      </c>
      <c r="I2370" s="9">
        <v>45310</v>
      </c>
    </row>
    <row r="2371" spans="1:9" x14ac:dyDescent="0.15">
      <c r="A2371" s="6">
        <v>2370</v>
      </c>
      <c r="B2371" s="7" t="s">
        <v>9</v>
      </c>
      <c r="C2371" s="8">
        <v>1883</v>
      </c>
      <c r="D2371" s="9">
        <v>45395</v>
      </c>
      <c r="E2371" s="13" t="str">
        <f>+HYPERLINK("http://trademark.i-assist.jp/data/china/image_1883th/76488318.pdf","76488318")</f>
        <v>76488318</v>
      </c>
      <c r="F2371" s="7" t="s">
        <v>6485</v>
      </c>
      <c r="G2371" s="7" t="s">
        <v>6486</v>
      </c>
      <c r="H2371" s="7" t="s">
        <v>6487</v>
      </c>
      <c r="I2371" s="9">
        <v>45310</v>
      </c>
    </row>
    <row r="2372" spans="1:9" x14ac:dyDescent="0.15">
      <c r="A2372" s="6">
        <v>2371</v>
      </c>
      <c r="B2372" s="7" t="s">
        <v>9</v>
      </c>
      <c r="C2372" s="8">
        <v>1883</v>
      </c>
      <c r="D2372" s="9">
        <v>45395</v>
      </c>
      <c r="E2372" s="13" t="str">
        <f>+HYPERLINK("http://trademark.i-assist.jp/data/china/image_1883th/76488350.pdf","76488350")</f>
        <v>76488350</v>
      </c>
      <c r="F2372" s="7" t="s">
        <v>6488</v>
      </c>
      <c r="G2372" s="7" t="s">
        <v>6489</v>
      </c>
      <c r="H2372" s="7" t="s">
        <v>6490</v>
      </c>
      <c r="I2372" s="9">
        <v>45310</v>
      </c>
    </row>
    <row r="2373" spans="1:9" ht="27" x14ac:dyDescent="0.15">
      <c r="A2373" s="6">
        <v>2372</v>
      </c>
      <c r="B2373" s="7" t="s">
        <v>9</v>
      </c>
      <c r="C2373" s="8">
        <v>1883</v>
      </c>
      <c r="D2373" s="9">
        <v>45395</v>
      </c>
      <c r="E2373" s="13" t="str">
        <f>+HYPERLINK("http://trademark.i-assist.jp/data/china/image_1883th/76488377.pdf","76488377")</f>
        <v>76488377</v>
      </c>
      <c r="F2373" s="7" t="s">
        <v>6491</v>
      </c>
      <c r="G2373" s="7" t="s">
        <v>997</v>
      </c>
      <c r="H2373" s="7" t="s">
        <v>6492</v>
      </c>
      <c r="I2373" s="9">
        <v>45310</v>
      </c>
    </row>
    <row r="2374" spans="1:9" x14ac:dyDescent="0.15">
      <c r="A2374" s="6">
        <v>2373</v>
      </c>
      <c r="B2374" s="7" t="s">
        <v>9</v>
      </c>
      <c r="C2374" s="8">
        <v>1883</v>
      </c>
      <c r="D2374" s="9">
        <v>45395</v>
      </c>
      <c r="E2374" s="13" t="str">
        <f>+HYPERLINK("http://trademark.i-assist.jp/data/china/image_1883th/76488621.pdf","76488621")</f>
        <v>76488621</v>
      </c>
      <c r="F2374" s="7" t="s">
        <v>6493</v>
      </c>
      <c r="G2374" s="7" t="s">
        <v>6494</v>
      </c>
      <c r="H2374" s="7" t="s">
        <v>6495</v>
      </c>
      <c r="I2374" s="9">
        <v>45310</v>
      </c>
    </row>
    <row r="2375" spans="1:9" x14ac:dyDescent="0.15">
      <c r="A2375" s="6">
        <v>2374</v>
      </c>
      <c r="B2375" s="7" t="s">
        <v>9</v>
      </c>
      <c r="C2375" s="8">
        <v>1883</v>
      </c>
      <c r="D2375" s="9">
        <v>45395</v>
      </c>
      <c r="E2375" s="13" t="str">
        <f>+HYPERLINK("http://trademark.i-assist.jp/data/china/image_1883th/76488698.pdf","76488698")</f>
        <v>76488698</v>
      </c>
      <c r="F2375" s="7" t="s">
        <v>6496</v>
      </c>
      <c r="G2375" s="7" t="s">
        <v>6029</v>
      </c>
      <c r="H2375" s="7" t="s">
        <v>6497</v>
      </c>
      <c r="I2375" s="9">
        <v>45310</v>
      </c>
    </row>
    <row r="2376" spans="1:9" x14ac:dyDescent="0.15">
      <c r="A2376" s="6">
        <v>2375</v>
      </c>
      <c r="B2376" s="7" t="s">
        <v>9</v>
      </c>
      <c r="C2376" s="8">
        <v>1883</v>
      </c>
      <c r="D2376" s="9">
        <v>45395</v>
      </c>
      <c r="E2376" s="13" t="str">
        <f>+HYPERLINK("http://trademark.i-assist.jp/data/china/image_1883th/76488919.pdf","76488919")</f>
        <v>76488919</v>
      </c>
      <c r="F2376" s="7" t="s">
        <v>6498</v>
      </c>
      <c r="G2376" s="7" t="s">
        <v>6499</v>
      </c>
      <c r="H2376" s="7" t="s">
        <v>6500</v>
      </c>
      <c r="I2376" s="9">
        <v>45310</v>
      </c>
    </row>
    <row r="2377" spans="1:9" x14ac:dyDescent="0.15">
      <c r="A2377" s="6">
        <v>2376</v>
      </c>
      <c r="B2377" s="7" t="s">
        <v>9</v>
      </c>
      <c r="C2377" s="8">
        <v>1883</v>
      </c>
      <c r="D2377" s="9">
        <v>45395</v>
      </c>
      <c r="E2377" s="13" t="str">
        <f>+HYPERLINK("http://trademark.i-assist.jp/data/china/image_1883th/76489162.pdf","76489162")</f>
        <v>76489162</v>
      </c>
      <c r="F2377" s="7" t="s">
        <v>6501</v>
      </c>
      <c r="G2377" s="7" t="s">
        <v>6502</v>
      </c>
      <c r="H2377" s="7" t="s">
        <v>6503</v>
      </c>
      <c r="I2377" s="9">
        <v>45310</v>
      </c>
    </row>
    <row r="2378" spans="1:9" x14ac:dyDescent="0.15">
      <c r="A2378" s="6">
        <v>2377</v>
      </c>
      <c r="B2378" s="7" t="s">
        <v>9</v>
      </c>
      <c r="C2378" s="8">
        <v>1883</v>
      </c>
      <c r="D2378" s="9">
        <v>45395</v>
      </c>
      <c r="E2378" s="13" t="str">
        <f>+HYPERLINK("http://trademark.i-assist.jp/data/china/image_1883th/76489239.pdf","76489239")</f>
        <v>76489239</v>
      </c>
      <c r="F2378" s="7" t="s">
        <v>6504</v>
      </c>
      <c r="G2378" s="7" t="s">
        <v>6505</v>
      </c>
      <c r="H2378" s="7" t="s">
        <v>6506</v>
      </c>
      <c r="I2378" s="9">
        <v>45310</v>
      </c>
    </row>
    <row r="2379" spans="1:9" ht="27" x14ac:dyDescent="0.15">
      <c r="A2379" s="6">
        <v>2378</v>
      </c>
      <c r="B2379" s="7" t="s">
        <v>9</v>
      </c>
      <c r="C2379" s="8">
        <v>1883</v>
      </c>
      <c r="D2379" s="9">
        <v>45395</v>
      </c>
      <c r="E2379" s="13" t="str">
        <f>+HYPERLINK("http://trademark.i-assist.jp/data/china/image_1883th/76489283.pdf","76489283")</f>
        <v>76489283</v>
      </c>
      <c r="F2379" s="7" t="s">
        <v>6507</v>
      </c>
      <c r="G2379" s="7" t="s">
        <v>6229</v>
      </c>
      <c r="H2379" s="7" t="s">
        <v>6508</v>
      </c>
      <c r="I2379" s="9">
        <v>45310</v>
      </c>
    </row>
    <row r="2380" spans="1:9" x14ac:dyDescent="0.15">
      <c r="A2380" s="6">
        <v>2379</v>
      </c>
      <c r="B2380" s="7" t="s">
        <v>9</v>
      </c>
      <c r="C2380" s="8">
        <v>1883</v>
      </c>
      <c r="D2380" s="9">
        <v>45395</v>
      </c>
      <c r="E2380" s="13" t="str">
        <f>+HYPERLINK("http://trademark.i-assist.jp/data/china/image_1883th/76489374.pdf","76489374")</f>
        <v>76489374</v>
      </c>
      <c r="F2380" s="7" t="s">
        <v>6509</v>
      </c>
      <c r="G2380" s="7" t="s">
        <v>6510</v>
      </c>
      <c r="H2380" s="7" t="s">
        <v>6511</v>
      </c>
      <c r="I2380" s="9">
        <v>45310</v>
      </c>
    </row>
    <row r="2381" spans="1:9" x14ac:dyDescent="0.15">
      <c r="A2381" s="6">
        <v>2380</v>
      </c>
      <c r="B2381" s="7" t="s">
        <v>9</v>
      </c>
      <c r="C2381" s="8">
        <v>1883</v>
      </c>
      <c r="D2381" s="9">
        <v>45395</v>
      </c>
      <c r="E2381" s="13" t="str">
        <f>+HYPERLINK("http://trademark.i-assist.jp/data/china/image_1883th/76489430.pdf","76489430")</f>
        <v>76489430</v>
      </c>
      <c r="F2381" s="7" t="s">
        <v>6512</v>
      </c>
      <c r="G2381" s="7" t="s">
        <v>6513</v>
      </c>
      <c r="H2381" s="7" t="s">
        <v>6514</v>
      </c>
      <c r="I2381" s="9">
        <v>45310</v>
      </c>
    </row>
    <row r="2382" spans="1:9" x14ac:dyDescent="0.15">
      <c r="A2382" s="6">
        <v>2381</v>
      </c>
      <c r="B2382" s="7" t="s">
        <v>9</v>
      </c>
      <c r="C2382" s="8">
        <v>1883</v>
      </c>
      <c r="D2382" s="9">
        <v>45395</v>
      </c>
      <c r="E2382" s="13" t="str">
        <f>+HYPERLINK("http://trademark.i-assist.jp/data/china/image_1883th/76489459.pdf","76489459")</f>
        <v>76489459</v>
      </c>
      <c r="F2382" s="7" t="s">
        <v>6515</v>
      </c>
      <c r="G2382" s="7" t="s">
        <v>6516</v>
      </c>
      <c r="H2382" s="7" t="s">
        <v>6517</v>
      </c>
      <c r="I2382" s="9">
        <v>45310</v>
      </c>
    </row>
    <row r="2383" spans="1:9" x14ac:dyDescent="0.15">
      <c r="A2383" s="6">
        <v>2382</v>
      </c>
      <c r="B2383" s="7" t="s">
        <v>9</v>
      </c>
      <c r="C2383" s="8">
        <v>1883</v>
      </c>
      <c r="D2383" s="9">
        <v>45395</v>
      </c>
      <c r="E2383" s="13" t="str">
        <f>+HYPERLINK("http://trademark.i-assist.jp/data/china/image_1883th/76489651.pdf","76489651")</f>
        <v>76489651</v>
      </c>
      <c r="F2383" s="7" t="s">
        <v>6518</v>
      </c>
      <c r="G2383" s="7" t="s">
        <v>6519</v>
      </c>
      <c r="H2383" s="7" t="s">
        <v>6520</v>
      </c>
      <c r="I2383" s="9">
        <v>45310</v>
      </c>
    </row>
    <row r="2384" spans="1:9" x14ac:dyDescent="0.15">
      <c r="A2384" s="6">
        <v>2383</v>
      </c>
      <c r="B2384" s="7" t="s">
        <v>9</v>
      </c>
      <c r="C2384" s="8">
        <v>1883</v>
      </c>
      <c r="D2384" s="9">
        <v>45395</v>
      </c>
      <c r="E2384" s="13" t="str">
        <f>+HYPERLINK("http://trademark.i-assist.jp/data/china/image_1883th/76489793.pdf","76489793")</f>
        <v>76489793</v>
      </c>
      <c r="F2384" s="7" t="s">
        <v>6521</v>
      </c>
      <c r="G2384" s="7" t="s">
        <v>6522</v>
      </c>
      <c r="H2384" s="7" t="s">
        <v>6523</v>
      </c>
      <c r="I2384" s="9">
        <v>45310</v>
      </c>
    </row>
    <row r="2385" spans="1:9" x14ac:dyDescent="0.15">
      <c r="A2385" s="6">
        <v>2384</v>
      </c>
      <c r="B2385" s="7" t="s">
        <v>9</v>
      </c>
      <c r="C2385" s="8">
        <v>1883</v>
      </c>
      <c r="D2385" s="9">
        <v>45395</v>
      </c>
      <c r="E2385" s="13" t="str">
        <f>+HYPERLINK("http://trademark.i-assist.jp/data/china/image_1883th/76490016.pdf","76490016")</f>
        <v>76490016</v>
      </c>
      <c r="F2385" s="7" t="s">
        <v>6524</v>
      </c>
      <c r="G2385" s="7" t="s">
        <v>6525</v>
      </c>
      <c r="H2385" s="7" t="s">
        <v>6526</v>
      </c>
      <c r="I2385" s="9">
        <v>45310</v>
      </c>
    </row>
    <row r="2386" spans="1:9" ht="27" x14ac:dyDescent="0.15">
      <c r="A2386" s="6">
        <v>2385</v>
      </c>
      <c r="B2386" s="7" t="s">
        <v>9</v>
      </c>
      <c r="C2386" s="8">
        <v>1883</v>
      </c>
      <c r="D2386" s="9">
        <v>45395</v>
      </c>
      <c r="E2386" s="13" t="str">
        <f>+HYPERLINK("http://trademark.i-assist.jp/data/china/image_1883th/76490093.pdf","76490093")</f>
        <v>76490093</v>
      </c>
      <c r="F2386" s="7" t="s">
        <v>6527</v>
      </c>
      <c r="G2386" s="7" t="s">
        <v>5555</v>
      </c>
      <c r="H2386" s="7" t="s">
        <v>6528</v>
      </c>
      <c r="I2386" s="9">
        <v>45310</v>
      </c>
    </row>
    <row r="2387" spans="1:9" x14ac:dyDescent="0.15">
      <c r="A2387" s="6">
        <v>2386</v>
      </c>
      <c r="B2387" s="7" t="s">
        <v>9</v>
      </c>
      <c r="C2387" s="8">
        <v>1883</v>
      </c>
      <c r="D2387" s="9">
        <v>45395</v>
      </c>
      <c r="E2387" s="13" t="str">
        <f>+HYPERLINK("http://trademark.i-assist.jp/data/china/image_1883th/76490096.pdf","76490096")</f>
        <v>76490096</v>
      </c>
      <c r="F2387" s="7" t="s">
        <v>6529</v>
      </c>
      <c r="G2387" s="7" t="s">
        <v>6530</v>
      </c>
      <c r="H2387" s="7" t="s">
        <v>6531</v>
      </c>
      <c r="I2387" s="9">
        <v>45310</v>
      </c>
    </row>
    <row r="2388" spans="1:9" x14ac:dyDescent="0.15">
      <c r="A2388" s="6">
        <v>2387</v>
      </c>
      <c r="B2388" s="7" t="s">
        <v>9</v>
      </c>
      <c r="C2388" s="8">
        <v>1883</v>
      </c>
      <c r="D2388" s="9">
        <v>45395</v>
      </c>
      <c r="E2388" s="13" t="str">
        <f>+HYPERLINK("http://trademark.i-assist.jp/data/china/image_1883th/76490119.pdf","76490119")</f>
        <v>76490119</v>
      </c>
      <c r="F2388" s="7" t="s">
        <v>6532</v>
      </c>
      <c r="G2388" s="7" t="s">
        <v>6533</v>
      </c>
      <c r="H2388" s="7" t="s">
        <v>6534</v>
      </c>
      <c r="I2388" s="9">
        <v>45310</v>
      </c>
    </row>
    <row r="2389" spans="1:9" x14ac:dyDescent="0.15">
      <c r="A2389" s="6">
        <v>2388</v>
      </c>
      <c r="B2389" s="7" t="s">
        <v>9</v>
      </c>
      <c r="C2389" s="8">
        <v>1883</v>
      </c>
      <c r="D2389" s="9">
        <v>45395</v>
      </c>
      <c r="E2389" s="13" t="str">
        <f>+HYPERLINK("http://trademark.i-assist.jp/data/china/image_1883th/76490682.pdf","76490682")</f>
        <v>76490682</v>
      </c>
      <c r="F2389" s="7" t="s">
        <v>6535</v>
      </c>
      <c r="G2389" s="7" t="s">
        <v>6536</v>
      </c>
      <c r="H2389" s="7" t="s">
        <v>6537</v>
      </c>
      <c r="I2389" s="9">
        <v>45310</v>
      </c>
    </row>
    <row r="2390" spans="1:9" x14ac:dyDescent="0.15">
      <c r="A2390" s="6">
        <v>2389</v>
      </c>
      <c r="B2390" s="7" t="s">
        <v>9</v>
      </c>
      <c r="C2390" s="8">
        <v>1883</v>
      </c>
      <c r="D2390" s="9">
        <v>45395</v>
      </c>
      <c r="E2390" s="13" t="str">
        <f>+HYPERLINK("http://trademark.i-assist.jp/data/china/image_1883th/76490760.pdf","76490760")</f>
        <v>76490760</v>
      </c>
      <c r="F2390" s="7" t="s">
        <v>6538</v>
      </c>
      <c r="G2390" s="7" t="s">
        <v>6539</v>
      </c>
      <c r="H2390" s="7" t="s">
        <v>6540</v>
      </c>
      <c r="I2390" s="9">
        <v>45310</v>
      </c>
    </row>
    <row r="2391" spans="1:9" x14ac:dyDescent="0.15">
      <c r="A2391" s="6">
        <v>2390</v>
      </c>
      <c r="B2391" s="7" t="s">
        <v>9</v>
      </c>
      <c r="C2391" s="8">
        <v>1883</v>
      </c>
      <c r="D2391" s="9">
        <v>45395</v>
      </c>
      <c r="E2391" s="13" t="str">
        <f>+HYPERLINK("http://trademark.i-assist.jp/data/china/image_1883th/76490761.pdf","76490761")</f>
        <v>76490761</v>
      </c>
      <c r="F2391" s="7" t="s">
        <v>6541</v>
      </c>
      <c r="G2391" s="7" t="s">
        <v>6542</v>
      </c>
      <c r="H2391" s="7" t="s">
        <v>6543</v>
      </c>
      <c r="I2391" s="9">
        <v>45310</v>
      </c>
    </row>
    <row r="2392" spans="1:9" ht="27" x14ac:dyDescent="0.15">
      <c r="A2392" s="6">
        <v>2391</v>
      </c>
      <c r="B2392" s="7" t="s">
        <v>9</v>
      </c>
      <c r="C2392" s="8">
        <v>1883</v>
      </c>
      <c r="D2392" s="9">
        <v>45395</v>
      </c>
      <c r="E2392" s="13" t="str">
        <f>+HYPERLINK("http://trademark.i-assist.jp/data/china/image_1883th/76490792.pdf","76490792")</f>
        <v>76490792</v>
      </c>
      <c r="F2392" s="7" t="s">
        <v>6544</v>
      </c>
      <c r="G2392" s="7" t="s">
        <v>6229</v>
      </c>
      <c r="H2392" s="7" t="s">
        <v>6545</v>
      </c>
      <c r="I2392" s="9">
        <v>45310</v>
      </c>
    </row>
    <row r="2393" spans="1:9" x14ac:dyDescent="0.15">
      <c r="A2393" s="6">
        <v>2392</v>
      </c>
      <c r="B2393" s="7" t="s">
        <v>9</v>
      </c>
      <c r="C2393" s="8">
        <v>1883</v>
      </c>
      <c r="D2393" s="9">
        <v>45395</v>
      </c>
      <c r="E2393" s="13" t="str">
        <f>+HYPERLINK("http://trademark.i-assist.jp/data/china/image_1883th/76490911.pdf","76490911")</f>
        <v>76490911</v>
      </c>
      <c r="F2393" s="7" t="s">
        <v>6546</v>
      </c>
      <c r="G2393" s="7" t="s">
        <v>6547</v>
      </c>
      <c r="H2393" s="7" t="s">
        <v>6548</v>
      </c>
      <c r="I2393" s="9">
        <v>45310</v>
      </c>
    </row>
    <row r="2394" spans="1:9" x14ac:dyDescent="0.15">
      <c r="A2394" s="6">
        <v>2393</v>
      </c>
      <c r="B2394" s="7" t="s">
        <v>9</v>
      </c>
      <c r="C2394" s="8">
        <v>1883</v>
      </c>
      <c r="D2394" s="9">
        <v>45395</v>
      </c>
      <c r="E2394" s="13" t="str">
        <f>+HYPERLINK("http://trademark.i-assist.jp/data/china/image_1883th/76491022.pdf","76491022")</f>
        <v>76491022</v>
      </c>
      <c r="F2394" s="7" t="s">
        <v>6549</v>
      </c>
      <c r="G2394" s="7" t="s">
        <v>4364</v>
      </c>
      <c r="H2394" s="7" t="s">
        <v>6550</v>
      </c>
      <c r="I2394" s="9">
        <v>45310</v>
      </c>
    </row>
    <row r="2395" spans="1:9" x14ac:dyDescent="0.15">
      <c r="A2395" s="6">
        <v>2394</v>
      </c>
      <c r="B2395" s="7" t="s">
        <v>9</v>
      </c>
      <c r="C2395" s="8">
        <v>1883</v>
      </c>
      <c r="D2395" s="9">
        <v>45395</v>
      </c>
      <c r="E2395" s="13" t="str">
        <f>+HYPERLINK("http://trademark.i-assist.jp/data/china/image_1883th/76491193.pdf","76491193")</f>
        <v>76491193</v>
      </c>
      <c r="F2395" s="7" t="s">
        <v>6551</v>
      </c>
      <c r="G2395" s="7" t="s">
        <v>6552</v>
      </c>
      <c r="H2395" s="7" t="s">
        <v>6553</v>
      </c>
      <c r="I2395" s="9">
        <v>45310</v>
      </c>
    </row>
    <row r="2396" spans="1:9" x14ac:dyDescent="0.15">
      <c r="A2396" s="6">
        <v>2395</v>
      </c>
      <c r="B2396" s="7" t="s">
        <v>9</v>
      </c>
      <c r="C2396" s="8">
        <v>1883</v>
      </c>
      <c r="D2396" s="9">
        <v>45395</v>
      </c>
      <c r="E2396" s="13" t="str">
        <f>+HYPERLINK("http://trademark.i-assist.jp/data/china/image_1883th/76491230.pdf","76491230")</f>
        <v>76491230</v>
      </c>
      <c r="F2396" s="7" t="s">
        <v>6554</v>
      </c>
      <c r="G2396" s="7" t="s">
        <v>6555</v>
      </c>
      <c r="H2396" s="7" t="s">
        <v>6556</v>
      </c>
      <c r="I2396" s="9">
        <v>45310</v>
      </c>
    </row>
    <row r="2397" spans="1:9" ht="27" x14ac:dyDescent="0.15">
      <c r="A2397" s="6">
        <v>2396</v>
      </c>
      <c r="B2397" s="7" t="s">
        <v>9</v>
      </c>
      <c r="C2397" s="8">
        <v>1883</v>
      </c>
      <c r="D2397" s="9">
        <v>45395</v>
      </c>
      <c r="E2397" s="13" t="str">
        <f>+HYPERLINK("http://trademark.i-assist.jp/data/china/image_1883th/76491284.pdf","76491284")</f>
        <v>76491284</v>
      </c>
      <c r="F2397" s="7" t="s">
        <v>6557</v>
      </c>
      <c r="G2397" s="7" t="s">
        <v>6558</v>
      </c>
      <c r="H2397" s="7" t="s">
        <v>6559</v>
      </c>
      <c r="I2397" s="9">
        <v>45310</v>
      </c>
    </row>
    <row r="2398" spans="1:9" x14ac:dyDescent="0.15">
      <c r="A2398" s="6">
        <v>2397</v>
      </c>
      <c r="B2398" s="7" t="s">
        <v>9</v>
      </c>
      <c r="C2398" s="8">
        <v>1883</v>
      </c>
      <c r="D2398" s="9">
        <v>45395</v>
      </c>
      <c r="E2398" s="13" t="str">
        <f>+HYPERLINK("http://trademark.i-assist.jp/data/china/image_1883th/76491459.pdf","76491459")</f>
        <v>76491459</v>
      </c>
      <c r="F2398" s="7" t="s">
        <v>6560</v>
      </c>
      <c r="G2398" s="7" t="s">
        <v>6561</v>
      </c>
      <c r="H2398" s="7" t="s">
        <v>6562</v>
      </c>
      <c r="I2398" s="9">
        <v>45310</v>
      </c>
    </row>
    <row r="2399" spans="1:9" x14ac:dyDescent="0.15">
      <c r="A2399" s="6">
        <v>2398</v>
      </c>
      <c r="B2399" s="7" t="s">
        <v>9</v>
      </c>
      <c r="C2399" s="8">
        <v>1883</v>
      </c>
      <c r="D2399" s="9">
        <v>45395</v>
      </c>
      <c r="E2399" s="13" t="str">
        <f>+HYPERLINK("http://trademark.i-assist.jp/data/china/image_1883th/76491716.pdf","76491716")</f>
        <v>76491716</v>
      </c>
      <c r="F2399" s="7" t="s">
        <v>6563</v>
      </c>
      <c r="G2399" s="7" t="s">
        <v>6564</v>
      </c>
      <c r="H2399" s="7" t="s">
        <v>6565</v>
      </c>
      <c r="I2399" s="9">
        <v>45310</v>
      </c>
    </row>
    <row r="2400" spans="1:9" x14ac:dyDescent="0.15">
      <c r="A2400" s="6">
        <v>2399</v>
      </c>
      <c r="B2400" s="7" t="s">
        <v>9</v>
      </c>
      <c r="C2400" s="8">
        <v>1883</v>
      </c>
      <c r="D2400" s="9">
        <v>45395</v>
      </c>
      <c r="E2400" s="13" t="str">
        <f>+HYPERLINK("http://trademark.i-assist.jp/data/china/image_1883th/76491722.pdf","76491722")</f>
        <v>76491722</v>
      </c>
      <c r="F2400" s="7" t="s">
        <v>6566</v>
      </c>
      <c r="G2400" s="7" t="s">
        <v>6567</v>
      </c>
      <c r="H2400" s="7" t="s">
        <v>6568</v>
      </c>
      <c r="I2400" s="9">
        <v>45310</v>
      </c>
    </row>
    <row r="2401" spans="1:9" x14ac:dyDescent="0.15">
      <c r="A2401" s="6">
        <v>2400</v>
      </c>
      <c r="B2401" s="7" t="s">
        <v>9</v>
      </c>
      <c r="C2401" s="8">
        <v>1883</v>
      </c>
      <c r="D2401" s="9">
        <v>45395</v>
      </c>
      <c r="E2401" s="13" t="str">
        <f>+HYPERLINK("http://trademark.i-assist.jp/data/china/image_1883th/76491815.pdf","76491815")</f>
        <v>76491815</v>
      </c>
      <c r="F2401" s="7" t="s">
        <v>6569</v>
      </c>
      <c r="G2401" s="7" t="s">
        <v>6570</v>
      </c>
      <c r="H2401" s="7" t="s">
        <v>6571</v>
      </c>
      <c r="I2401" s="9">
        <v>45309</v>
      </c>
    </row>
    <row r="2402" spans="1:9" x14ac:dyDescent="0.15">
      <c r="A2402" s="6">
        <v>2401</v>
      </c>
      <c r="B2402" s="7" t="s">
        <v>9</v>
      </c>
      <c r="C2402" s="8">
        <v>1883</v>
      </c>
      <c r="D2402" s="9">
        <v>45395</v>
      </c>
      <c r="E2402" s="13" t="str">
        <f>+HYPERLINK("http://trademark.i-assist.jp/data/china/image_1883th/76491935.pdf","76491935")</f>
        <v>76491935</v>
      </c>
      <c r="F2402" s="7" t="s">
        <v>6572</v>
      </c>
      <c r="G2402" s="7" t="s">
        <v>6573</v>
      </c>
      <c r="H2402" s="7" t="s">
        <v>6574</v>
      </c>
      <c r="I2402" s="9">
        <v>45310</v>
      </c>
    </row>
    <row r="2403" spans="1:9" x14ac:dyDescent="0.15">
      <c r="A2403" s="6">
        <v>2402</v>
      </c>
      <c r="B2403" s="7" t="s">
        <v>9</v>
      </c>
      <c r="C2403" s="8">
        <v>1883</v>
      </c>
      <c r="D2403" s="9">
        <v>45395</v>
      </c>
      <c r="E2403" s="13" t="str">
        <f>+HYPERLINK("http://trademark.i-assist.jp/data/china/image_1883th/76491972.pdf","76491972")</f>
        <v>76491972</v>
      </c>
      <c r="F2403" s="7" t="s">
        <v>6575</v>
      </c>
      <c r="G2403" s="7" t="s">
        <v>6104</v>
      </c>
      <c r="H2403" s="7" t="s">
        <v>6576</v>
      </c>
      <c r="I2403" s="9">
        <v>45310</v>
      </c>
    </row>
    <row r="2404" spans="1:9" x14ac:dyDescent="0.15">
      <c r="A2404" s="6">
        <v>2403</v>
      </c>
      <c r="B2404" s="7" t="s">
        <v>9</v>
      </c>
      <c r="C2404" s="8">
        <v>1883</v>
      </c>
      <c r="D2404" s="9">
        <v>45395</v>
      </c>
      <c r="E2404" s="13" t="str">
        <f>+HYPERLINK("http://trademark.i-assist.jp/data/china/image_1883th/76492286.pdf","76492286")</f>
        <v>76492286</v>
      </c>
      <c r="F2404" s="7" t="s">
        <v>6577</v>
      </c>
      <c r="G2404" s="7" t="s">
        <v>5348</v>
      </c>
      <c r="H2404" s="7" t="s">
        <v>6578</v>
      </c>
      <c r="I2404" s="9">
        <v>45312</v>
      </c>
    </row>
    <row r="2405" spans="1:9" x14ac:dyDescent="0.15">
      <c r="A2405" s="6">
        <v>2404</v>
      </c>
      <c r="B2405" s="7" t="s">
        <v>9</v>
      </c>
      <c r="C2405" s="8">
        <v>1883</v>
      </c>
      <c r="D2405" s="9">
        <v>45395</v>
      </c>
      <c r="E2405" s="13" t="str">
        <f>+HYPERLINK("http://trademark.i-assist.jp/data/china/image_1883th/76492594.pdf","76492594")</f>
        <v>76492594</v>
      </c>
      <c r="F2405" s="7" t="s">
        <v>6579</v>
      </c>
      <c r="G2405" s="7" t="s">
        <v>6580</v>
      </c>
      <c r="H2405" s="7" t="s">
        <v>6581</v>
      </c>
      <c r="I2405" s="9">
        <v>45310</v>
      </c>
    </row>
    <row r="2406" spans="1:9" x14ac:dyDescent="0.15">
      <c r="A2406" s="6">
        <v>2405</v>
      </c>
      <c r="B2406" s="7" t="s">
        <v>9</v>
      </c>
      <c r="C2406" s="8">
        <v>1883</v>
      </c>
      <c r="D2406" s="9">
        <v>45395</v>
      </c>
      <c r="E2406" s="13" t="str">
        <f>+HYPERLINK("http://trademark.i-assist.jp/data/china/image_1883th/76492599.pdf","76492599")</f>
        <v>76492599</v>
      </c>
      <c r="F2406" s="7" t="s">
        <v>6582</v>
      </c>
      <c r="G2406" s="7" t="s">
        <v>6583</v>
      </c>
      <c r="H2406" s="7" t="s">
        <v>6584</v>
      </c>
      <c r="I2406" s="9">
        <v>45310</v>
      </c>
    </row>
    <row r="2407" spans="1:9" x14ac:dyDescent="0.15">
      <c r="A2407" s="6">
        <v>2406</v>
      </c>
      <c r="B2407" s="7" t="s">
        <v>9</v>
      </c>
      <c r="C2407" s="8">
        <v>1883</v>
      </c>
      <c r="D2407" s="9">
        <v>45395</v>
      </c>
      <c r="E2407" s="13" t="str">
        <f>+HYPERLINK("http://trademark.i-assist.jp/data/china/image_1883th/76492686.pdf","76492686")</f>
        <v>76492686</v>
      </c>
      <c r="F2407" s="7" t="s">
        <v>6585</v>
      </c>
      <c r="G2407" s="7" t="s">
        <v>6586</v>
      </c>
      <c r="H2407" s="7" t="s">
        <v>6587</v>
      </c>
      <c r="I2407" s="9">
        <v>45309</v>
      </c>
    </row>
    <row r="2408" spans="1:9" x14ac:dyDescent="0.15">
      <c r="A2408" s="6">
        <v>2407</v>
      </c>
      <c r="B2408" s="7" t="s">
        <v>9</v>
      </c>
      <c r="C2408" s="8">
        <v>1883</v>
      </c>
      <c r="D2408" s="9">
        <v>45395</v>
      </c>
      <c r="E2408" s="13" t="str">
        <f>+HYPERLINK("http://trademark.i-assist.jp/data/china/image_1883th/76492830.pdf","76492830")</f>
        <v>76492830</v>
      </c>
      <c r="F2408" s="7" t="s">
        <v>6588</v>
      </c>
      <c r="G2408" s="7" t="s">
        <v>1592</v>
      </c>
      <c r="H2408" s="7" t="s">
        <v>6589</v>
      </c>
      <c r="I2408" s="9">
        <v>45311</v>
      </c>
    </row>
    <row r="2409" spans="1:9" x14ac:dyDescent="0.15">
      <c r="A2409" s="6">
        <v>2408</v>
      </c>
      <c r="B2409" s="7" t="s">
        <v>9</v>
      </c>
      <c r="C2409" s="8">
        <v>1883</v>
      </c>
      <c r="D2409" s="9">
        <v>45395</v>
      </c>
      <c r="E2409" s="13" t="str">
        <f>+HYPERLINK("http://trademark.i-assist.jp/data/china/image_1883th/76492864.pdf","76492864")</f>
        <v>76492864</v>
      </c>
      <c r="F2409" s="7" t="s">
        <v>6590</v>
      </c>
      <c r="G2409" s="7" t="s">
        <v>6591</v>
      </c>
      <c r="H2409" s="7" t="s">
        <v>6592</v>
      </c>
      <c r="I2409" s="9">
        <v>45311</v>
      </c>
    </row>
    <row r="2410" spans="1:9" x14ac:dyDescent="0.15">
      <c r="A2410" s="6">
        <v>2409</v>
      </c>
      <c r="B2410" s="7" t="s">
        <v>9</v>
      </c>
      <c r="C2410" s="8">
        <v>1883</v>
      </c>
      <c r="D2410" s="9">
        <v>45395</v>
      </c>
      <c r="E2410" s="13" t="str">
        <f>+HYPERLINK("http://trademark.i-assist.jp/data/china/image_1883th/76492877.pdf","76492877")</f>
        <v>76492877</v>
      </c>
      <c r="F2410" s="7" t="s">
        <v>6593</v>
      </c>
      <c r="G2410" s="7" t="s">
        <v>6594</v>
      </c>
      <c r="H2410" s="7" t="s">
        <v>6595</v>
      </c>
      <c r="I2410" s="9">
        <v>45311</v>
      </c>
    </row>
    <row r="2411" spans="1:9" x14ac:dyDescent="0.15">
      <c r="A2411" s="6">
        <v>2410</v>
      </c>
      <c r="B2411" s="7" t="s">
        <v>9</v>
      </c>
      <c r="C2411" s="8">
        <v>1883</v>
      </c>
      <c r="D2411" s="9">
        <v>45395</v>
      </c>
      <c r="E2411" s="13" t="str">
        <f>+HYPERLINK("http://trademark.i-assist.jp/data/china/image_1883th/76492973.pdf","76492973")</f>
        <v>76492973</v>
      </c>
      <c r="F2411" s="7" t="s">
        <v>6596</v>
      </c>
      <c r="G2411" s="7" t="s">
        <v>6580</v>
      </c>
      <c r="H2411" s="7" t="s">
        <v>6597</v>
      </c>
      <c r="I2411" s="9">
        <v>45310</v>
      </c>
    </row>
    <row r="2412" spans="1:9" ht="27" x14ac:dyDescent="0.15">
      <c r="A2412" s="6">
        <v>2411</v>
      </c>
      <c r="B2412" s="7" t="s">
        <v>9</v>
      </c>
      <c r="C2412" s="8">
        <v>1883</v>
      </c>
      <c r="D2412" s="9">
        <v>45395</v>
      </c>
      <c r="E2412" s="13" t="str">
        <f>+HYPERLINK("http://trademark.i-assist.jp/data/china/image_1883th/76493057.pdf","76493057")</f>
        <v>76493057</v>
      </c>
      <c r="F2412" s="7" t="s">
        <v>6598</v>
      </c>
      <c r="G2412" s="7" t="s">
        <v>6599</v>
      </c>
      <c r="H2412" s="7" t="s">
        <v>6600</v>
      </c>
      <c r="I2412" s="9">
        <v>45311</v>
      </c>
    </row>
    <row r="2413" spans="1:9" ht="27" x14ac:dyDescent="0.15">
      <c r="A2413" s="6">
        <v>2412</v>
      </c>
      <c r="B2413" s="7" t="s">
        <v>9</v>
      </c>
      <c r="C2413" s="8">
        <v>1883</v>
      </c>
      <c r="D2413" s="9">
        <v>45395</v>
      </c>
      <c r="E2413" s="13" t="str">
        <f>+HYPERLINK("http://trademark.i-assist.jp/data/china/image_1883th/76493064.pdf","76493064")</f>
        <v>76493064</v>
      </c>
      <c r="F2413" s="7" t="s">
        <v>6601</v>
      </c>
      <c r="G2413" s="7" t="s">
        <v>6602</v>
      </c>
      <c r="H2413" s="7" t="s">
        <v>6603</v>
      </c>
      <c r="I2413" s="9">
        <v>45311</v>
      </c>
    </row>
    <row r="2414" spans="1:9" ht="27" x14ac:dyDescent="0.15">
      <c r="A2414" s="6">
        <v>2413</v>
      </c>
      <c r="B2414" s="7" t="s">
        <v>9</v>
      </c>
      <c r="C2414" s="8">
        <v>1883</v>
      </c>
      <c r="D2414" s="9">
        <v>45395</v>
      </c>
      <c r="E2414" s="13" t="str">
        <f>+HYPERLINK("http://trademark.i-assist.jp/data/china/image_1883th/76493067.pdf","76493067")</f>
        <v>76493067</v>
      </c>
      <c r="F2414" s="7" t="s">
        <v>6604</v>
      </c>
      <c r="G2414" s="7" t="s">
        <v>6605</v>
      </c>
      <c r="H2414" s="7" t="s">
        <v>6606</v>
      </c>
      <c r="I2414" s="9">
        <v>45311</v>
      </c>
    </row>
    <row r="2415" spans="1:9" x14ac:dyDescent="0.15">
      <c r="A2415" s="6">
        <v>2414</v>
      </c>
      <c r="B2415" s="7" t="s">
        <v>9</v>
      </c>
      <c r="C2415" s="8">
        <v>1883</v>
      </c>
      <c r="D2415" s="9">
        <v>45395</v>
      </c>
      <c r="E2415" s="13" t="str">
        <f>+HYPERLINK("http://trademark.i-assist.jp/data/china/image_1883th/76493139.pdf","76493139")</f>
        <v>76493139</v>
      </c>
      <c r="F2415" s="7" t="s">
        <v>6607</v>
      </c>
      <c r="G2415" s="7" t="s">
        <v>6608</v>
      </c>
      <c r="H2415" s="7" t="s">
        <v>6609</v>
      </c>
      <c r="I2415" s="9">
        <v>45309</v>
      </c>
    </row>
    <row r="2416" spans="1:9" x14ac:dyDescent="0.15">
      <c r="A2416" s="6">
        <v>2415</v>
      </c>
      <c r="B2416" s="7" t="s">
        <v>9</v>
      </c>
      <c r="C2416" s="8">
        <v>1883</v>
      </c>
      <c r="D2416" s="9">
        <v>45395</v>
      </c>
      <c r="E2416" s="13" t="str">
        <f>+HYPERLINK("http://trademark.i-assist.jp/data/china/image_1883th/76493398.pdf","76493398")</f>
        <v>76493398</v>
      </c>
      <c r="F2416" s="7" t="s">
        <v>6610</v>
      </c>
      <c r="G2416" s="7" t="s">
        <v>6611</v>
      </c>
      <c r="H2416" s="7" t="s">
        <v>6612</v>
      </c>
      <c r="I2416" s="9">
        <v>45310</v>
      </c>
    </row>
    <row r="2417" spans="1:9" x14ac:dyDescent="0.15">
      <c r="A2417" s="6">
        <v>2416</v>
      </c>
      <c r="B2417" s="7" t="s">
        <v>9</v>
      </c>
      <c r="C2417" s="8">
        <v>1883</v>
      </c>
      <c r="D2417" s="9">
        <v>45395</v>
      </c>
      <c r="E2417" s="13" t="str">
        <f>+HYPERLINK("http://trademark.i-assist.jp/data/china/image_1883th/76493422.pdf","76493422")</f>
        <v>76493422</v>
      </c>
      <c r="F2417" s="7" t="s">
        <v>6613</v>
      </c>
      <c r="G2417" s="7" t="s">
        <v>6614</v>
      </c>
      <c r="H2417" s="7" t="s">
        <v>6615</v>
      </c>
      <c r="I2417" s="9">
        <v>45310</v>
      </c>
    </row>
    <row r="2418" spans="1:9" ht="27" x14ac:dyDescent="0.15">
      <c r="A2418" s="6">
        <v>2417</v>
      </c>
      <c r="B2418" s="7" t="s">
        <v>9</v>
      </c>
      <c r="C2418" s="8">
        <v>1883</v>
      </c>
      <c r="D2418" s="9">
        <v>45395</v>
      </c>
      <c r="E2418" s="13" t="str">
        <f>+HYPERLINK("http://trademark.i-assist.jp/data/china/image_1883th/76493600.pdf","76493600")</f>
        <v>76493600</v>
      </c>
      <c r="F2418" s="7" t="s">
        <v>57</v>
      </c>
      <c r="G2418" s="7" t="s">
        <v>6616</v>
      </c>
      <c r="H2418" s="7" t="s">
        <v>6617</v>
      </c>
      <c r="I2418" s="9">
        <v>45310</v>
      </c>
    </row>
    <row r="2419" spans="1:9" x14ac:dyDescent="0.15">
      <c r="A2419" s="6">
        <v>2418</v>
      </c>
      <c r="B2419" s="7" t="s">
        <v>9</v>
      </c>
      <c r="C2419" s="8">
        <v>1883</v>
      </c>
      <c r="D2419" s="9">
        <v>45395</v>
      </c>
      <c r="E2419" s="13" t="str">
        <f>+HYPERLINK("http://trademark.i-assist.jp/data/china/image_1883th/76494101.pdf","76494101")</f>
        <v>76494101</v>
      </c>
      <c r="F2419" s="7" t="s">
        <v>6618</v>
      </c>
      <c r="G2419" s="7" t="s">
        <v>6619</v>
      </c>
      <c r="H2419" s="7" t="s">
        <v>6620</v>
      </c>
      <c r="I2419" s="9">
        <v>45310</v>
      </c>
    </row>
    <row r="2420" spans="1:9" ht="27" x14ac:dyDescent="0.15">
      <c r="A2420" s="6">
        <v>2419</v>
      </c>
      <c r="B2420" s="7" t="s">
        <v>9</v>
      </c>
      <c r="C2420" s="8">
        <v>1883</v>
      </c>
      <c r="D2420" s="9">
        <v>45395</v>
      </c>
      <c r="E2420" s="13" t="str">
        <f>+HYPERLINK("http://trademark.i-assist.jp/data/china/image_1883th/76494257.pdf","76494257")</f>
        <v>76494257</v>
      </c>
      <c r="F2420" s="7" t="s">
        <v>6621</v>
      </c>
      <c r="G2420" s="7" t="s">
        <v>6599</v>
      </c>
      <c r="H2420" s="7" t="s">
        <v>6622</v>
      </c>
      <c r="I2420" s="9">
        <v>45311</v>
      </c>
    </row>
    <row r="2421" spans="1:9" x14ac:dyDescent="0.15">
      <c r="A2421" s="6">
        <v>2420</v>
      </c>
      <c r="B2421" s="7" t="s">
        <v>9</v>
      </c>
      <c r="C2421" s="8">
        <v>1883</v>
      </c>
      <c r="D2421" s="9">
        <v>45395</v>
      </c>
      <c r="E2421" s="13" t="str">
        <f>+HYPERLINK("http://trademark.i-assist.jp/data/china/image_1883th/76494362.pdf","76494362")</f>
        <v>76494362</v>
      </c>
      <c r="F2421" s="7" t="s">
        <v>6623</v>
      </c>
      <c r="G2421" s="7" t="s">
        <v>6624</v>
      </c>
      <c r="H2421" s="7" t="s">
        <v>6625</v>
      </c>
      <c r="I2421" s="9">
        <v>45311</v>
      </c>
    </row>
    <row r="2422" spans="1:9" ht="27" x14ac:dyDescent="0.15">
      <c r="A2422" s="6">
        <v>2421</v>
      </c>
      <c r="B2422" s="7" t="s">
        <v>9</v>
      </c>
      <c r="C2422" s="8">
        <v>1883</v>
      </c>
      <c r="D2422" s="9">
        <v>45395</v>
      </c>
      <c r="E2422" s="13" t="str">
        <f>+HYPERLINK("http://trademark.i-assist.jp/data/china/image_1883th/76494389.pdf","76494389")</f>
        <v>76494389</v>
      </c>
      <c r="F2422" s="7" t="s">
        <v>6626</v>
      </c>
      <c r="G2422" s="7" t="s">
        <v>6627</v>
      </c>
      <c r="H2422" s="7" t="s">
        <v>6628</v>
      </c>
      <c r="I2422" s="9">
        <v>45311</v>
      </c>
    </row>
    <row r="2423" spans="1:9" ht="27" x14ac:dyDescent="0.15">
      <c r="A2423" s="6">
        <v>2422</v>
      </c>
      <c r="B2423" s="7" t="s">
        <v>9</v>
      </c>
      <c r="C2423" s="8">
        <v>1883</v>
      </c>
      <c r="D2423" s="9">
        <v>45395</v>
      </c>
      <c r="E2423" s="13" t="str">
        <f>+HYPERLINK("http://trademark.i-assist.jp/data/china/image_1883th/76494407.pdf","76494407")</f>
        <v>76494407</v>
      </c>
      <c r="F2423" s="7" t="s">
        <v>6629</v>
      </c>
      <c r="G2423" s="7" t="s">
        <v>5555</v>
      </c>
      <c r="H2423" s="7" t="s">
        <v>6630</v>
      </c>
      <c r="I2423" s="9">
        <v>45310</v>
      </c>
    </row>
    <row r="2424" spans="1:9" x14ac:dyDescent="0.15">
      <c r="A2424" s="6">
        <v>2423</v>
      </c>
      <c r="B2424" s="7" t="s">
        <v>9</v>
      </c>
      <c r="C2424" s="8">
        <v>1883</v>
      </c>
      <c r="D2424" s="9">
        <v>45395</v>
      </c>
      <c r="E2424" s="13" t="str">
        <f>+HYPERLINK("http://trademark.i-assist.jp/data/china/image_1883th/76494482.pdf","76494482")</f>
        <v>76494482</v>
      </c>
      <c r="F2424" s="7" t="s">
        <v>6631</v>
      </c>
      <c r="G2424" s="7" t="s">
        <v>6632</v>
      </c>
      <c r="H2424" s="7" t="s">
        <v>6633</v>
      </c>
      <c r="I2424" s="9">
        <v>45311</v>
      </c>
    </row>
    <row r="2425" spans="1:9" x14ac:dyDescent="0.15">
      <c r="A2425" s="6">
        <v>2424</v>
      </c>
      <c r="B2425" s="7" t="s">
        <v>9</v>
      </c>
      <c r="C2425" s="8">
        <v>1883</v>
      </c>
      <c r="D2425" s="9">
        <v>45395</v>
      </c>
      <c r="E2425" s="13" t="str">
        <f>+HYPERLINK("http://trademark.i-assist.jp/data/china/image_1883th/76494497.pdf","76494497")</f>
        <v>76494497</v>
      </c>
      <c r="F2425" s="7" t="s">
        <v>6634</v>
      </c>
      <c r="G2425" s="7" t="s">
        <v>5980</v>
      </c>
      <c r="H2425" s="7" t="s">
        <v>6635</v>
      </c>
      <c r="I2425" s="9">
        <v>45309</v>
      </c>
    </row>
    <row r="2426" spans="1:9" x14ac:dyDescent="0.15">
      <c r="A2426" s="6">
        <v>2425</v>
      </c>
      <c r="B2426" s="7" t="s">
        <v>9</v>
      </c>
      <c r="C2426" s="8">
        <v>1883</v>
      </c>
      <c r="D2426" s="9">
        <v>45395</v>
      </c>
      <c r="E2426" s="13" t="str">
        <f>+HYPERLINK("http://trademark.i-assist.jp/data/china/image_1883th/76494507.pdf","76494507")</f>
        <v>76494507</v>
      </c>
      <c r="F2426" s="7" t="s">
        <v>6636</v>
      </c>
      <c r="G2426" s="7" t="s">
        <v>5917</v>
      </c>
      <c r="H2426" s="7" t="s">
        <v>6637</v>
      </c>
      <c r="I2426" s="9">
        <v>45309</v>
      </c>
    </row>
    <row r="2427" spans="1:9" x14ac:dyDescent="0.15">
      <c r="A2427" s="6">
        <v>2426</v>
      </c>
      <c r="B2427" s="7" t="s">
        <v>9</v>
      </c>
      <c r="C2427" s="8">
        <v>1883</v>
      </c>
      <c r="D2427" s="9">
        <v>45395</v>
      </c>
      <c r="E2427" s="13" t="str">
        <f>+HYPERLINK("http://trademark.i-assist.jp/data/china/image_1883th/76494573.pdf","76494573")</f>
        <v>76494573</v>
      </c>
      <c r="F2427" s="7" t="s">
        <v>6638</v>
      </c>
      <c r="G2427" s="7" t="s">
        <v>4451</v>
      </c>
      <c r="H2427" s="7" t="s">
        <v>6639</v>
      </c>
      <c r="I2427" s="9">
        <v>45309</v>
      </c>
    </row>
    <row r="2428" spans="1:9" x14ac:dyDescent="0.15">
      <c r="A2428" s="6">
        <v>2427</v>
      </c>
      <c r="B2428" s="7" t="s">
        <v>9</v>
      </c>
      <c r="C2428" s="8">
        <v>1883</v>
      </c>
      <c r="D2428" s="9">
        <v>45395</v>
      </c>
      <c r="E2428" s="13" t="str">
        <f>+HYPERLINK("http://trademark.i-assist.jp/data/china/image_1883th/76494611.pdf","76494611")</f>
        <v>76494611</v>
      </c>
      <c r="F2428" s="7" t="s">
        <v>6640</v>
      </c>
      <c r="G2428" s="7" t="s">
        <v>6641</v>
      </c>
      <c r="H2428" s="7" t="s">
        <v>6642</v>
      </c>
      <c r="I2428" s="9">
        <v>45309</v>
      </c>
    </row>
    <row r="2429" spans="1:9" x14ac:dyDescent="0.15">
      <c r="A2429" s="6">
        <v>2428</v>
      </c>
      <c r="B2429" s="7" t="s">
        <v>9</v>
      </c>
      <c r="C2429" s="8">
        <v>1883</v>
      </c>
      <c r="D2429" s="9">
        <v>45395</v>
      </c>
      <c r="E2429" s="13" t="str">
        <f>+HYPERLINK("http://trademark.i-assist.jp/data/china/image_1883th/76494992.pdf","76494992")</f>
        <v>76494992</v>
      </c>
      <c r="F2429" s="7" t="s">
        <v>6643</v>
      </c>
      <c r="G2429" s="7" t="s">
        <v>2774</v>
      </c>
      <c r="H2429" s="7" t="s">
        <v>6644</v>
      </c>
      <c r="I2429" s="9">
        <v>45310</v>
      </c>
    </row>
    <row r="2430" spans="1:9" x14ac:dyDescent="0.15">
      <c r="A2430" s="6">
        <v>2429</v>
      </c>
      <c r="B2430" s="7" t="s">
        <v>9</v>
      </c>
      <c r="C2430" s="8">
        <v>1883</v>
      </c>
      <c r="D2430" s="9">
        <v>45395</v>
      </c>
      <c r="E2430" s="13" t="str">
        <f>+HYPERLINK("http://trademark.i-assist.jp/data/china/image_1883th/76495022.pdf","76495022")</f>
        <v>76495022</v>
      </c>
      <c r="F2430" s="7" t="s">
        <v>6645</v>
      </c>
      <c r="G2430" s="7" t="s">
        <v>6646</v>
      </c>
      <c r="H2430" s="7" t="s">
        <v>6647</v>
      </c>
      <c r="I2430" s="9">
        <v>45310</v>
      </c>
    </row>
    <row r="2431" spans="1:9" ht="27" x14ac:dyDescent="0.15">
      <c r="A2431" s="6">
        <v>2430</v>
      </c>
      <c r="B2431" s="7" t="s">
        <v>9</v>
      </c>
      <c r="C2431" s="8">
        <v>1883</v>
      </c>
      <c r="D2431" s="9">
        <v>45395</v>
      </c>
      <c r="E2431" s="13" t="str">
        <f>+HYPERLINK("http://trademark.i-assist.jp/data/china/image_1883th/76495358.pdf","76495358")</f>
        <v>76495358</v>
      </c>
      <c r="F2431" s="7" t="s">
        <v>6648</v>
      </c>
      <c r="G2431" s="7" t="s">
        <v>6649</v>
      </c>
      <c r="H2431" s="7" t="s">
        <v>6650</v>
      </c>
      <c r="I2431" s="9">
        <v>45310</v>
      </c>
    </row>
    <row r="2432" spans="1:9" x14ac:dyDescent="0.15">
      <c r="A2432" s="6">
        <v>2431</v>
      </c>
      <c r="B2432" s="7" t="s">
        <v>9</v>
      </c>
      <c r="C2432" s="8">
        <v>1883</v>
      </c>
      <c r="D2432" s="9">
        <v>45395</v>
      </c>
      <c r="E2432" s="13" t="str">
        <f>+HYPERLINK("http://trademark.i-assist.jp/data/china/image_1883th/76495428.pdf","76495428")</f>
        <v>76495428</v>
      </c>
      <c r="F2432" s="7" t="s">
        <v>6651</v>
      </c>
      <c r="G2432" s="7" t="s">
        <v>6652</v>
      </c>
      <c r="H2432" s="7" t="s">
        <v>6653</v>
      </c>
      <c r="I2432" s="9">
        <v>45310</v>
      </c>
    </row>
    <row r="2433" spans="1:9" x14ac:dyDescent="0.15">
      <c r="A2433" s="6">
        <v>2432</v>
      </c>
      <c r="B2433" s="7" t="s">
        <v>9</v>
      </c>
      <c r="C2433" s="8">
        <v>1883</v>
      </c>
      <c r="D2433" s="9">
        <v>45395</v>
      </c>
      <c r="E2433" s="13" t="str">
        <f>+HYPERLINK("http://trademark.i-assist.jp/data/china/image_1883th/76495537.pdf","76495537")</f>
        <v>76495537</v>
      </c>
      <c r="F2433" s="7" t="s">
        <v>6654</v>
      </c>
      <c r="G2433" s="7" t="s">
        <v>4451</v>
      </c>
      <c r="H2433" s="7" t="s">
        <v>6655</v>
      </c>
      <c r="I2433" s="9">
        <v>45310</v>
      </c>
    </row>
    <row r="2434" spans="1:9" x14ac:dyDescent="0.15">
      <c r="A2434" s="6">
        <v>2433</v>
      </c>
      <c r="B2434" s="7" t="s">
        <v>9</v>
      </c>
      <c r="C2434" s="8">
        <v>1883</v>
      </c>
      <c r="D2434" s="9">
        <v>45395</v>
      </c>
      <c r="E2434" s="13" t="str">
        <f>+HYPERLINK("http://trademark.i-assist.jp/data/china/image_1883th/76495557.pdf","76495557")</f>
        <v>76495557</v>
      </c>
      <c r="F2434" s="7" t="s">
        <v>6656</v>
      </c>
      <c r="G2434" s="7" t="s">
        <v>6657</v>
      </c>
      <c r="H2434" s="7" t="s">
        <v>6658</v>
      </c>
      <c r="I2434" s="9">
        <v>45310</v>
      </c>
    </row>
    <row r="2435" spans="1:9" ht="27" x14ac:dyDescent="0.15">
      <c r="A2435" s="6">
        <v>2434</v>
      </c>
      <c r="B2435" s="7" t="s">
        <v>9</v>
      </c>
      <c r="C2435" s="8">
        <v>1883</v>
      </c>
      <c r="D2435" s="9">
        <v>45395</v>
      </c>
      <c r="E2435" s="13" t="str">
        <f>+HYPERLINK("http://trademark.i-assist.jp/data/china/image_1883th/76495730.pdf","76495730")</f>
        <v>76495730</v>
      </c>
      <c r="F2435" s="7" t="s">
        <v>6659</v>
      </c>
      <c r="G2435" s="7" t="s">
        <v>6660</v>
      </c>
      <c r="H2435" s="7" t="s">
        <v>6661</v>
      </c>
      <c r="I2435" s="9">
        <v>45310</v>
      </c>
    </row>
    <row r="2436" spans="1:9" x14ac:dyDescent="0.15">
      <c r="A2436" s="6">
        <v>2435</v>
      </c>
      <c r="B2436" s="7" t="s">
        <v>9</v>
      </c>
      <c r="C2436" s="8">
        <v>1883</v>
      </c>
      <c r="D2436" s="9">
        <v>45395</v>
      </c>
      <c r="E2436" s="13" t="str">
        <f>+HYPERLINK("http://trademark.i-assist.jp/data/china/image_1883th/76495804.pdf","76495804")</f>
        <v>76495804</v>
      </c>
      <c r="F2436" s="7" t="s">
        <v>6662</v>
      </c>
      <c r="G2436" s="7" t="s">
        <v>6663</v>
      </c>
      <c r="H2436" s="7" t="s">
        <v>6664</v>
      </c>
      <c r="I2436" s="9">
        <v>45309</v>
      </c>
    </row>
    <row r="2437" spans="1:9" x14ac:dyDescent="0.15">
      <c r="A2437" s="6">
        <v>2436</v>
      </c>
      <c r="B2437" s="7" t="s">
        <v>9</v>
      </c>
      <c r="C2437" s="8">
        <v>1883</v>
      </c>
      <c r="D2437" s="9">
        <v>45395</v>
      </c>
      <c r="E2437" s="13" t="str">
        <f>+HYPERLINK("http://trademark.i-assist.jp/data/china/image_1883th/76495815.pdf","76495815")</f>
        <v>76495815</v>
      </c>
      <c r="F2437" s="7" t="s">
        <v>6665</v>
      </c>
      <c r="G2437" s="7" t="s">
        <v>6666</v>
      </c>
      <c r="H2437" s="7" t="s">
        <v>6667</v>
      </c>
      <c r="I2437" s="9">
        <v>45309</v>
      </c>
    </row>
    <row r="2438" spans="1:9" x14ac:dyDescent="0.15">
      <c r="A2438" s="6">
        <v>2437</v>
      </c>
      <c r="B2438" s="7" t="s">
        <v>9</v>
      </c>
      <c r="C2438" s="8">
        <v>1883</v>
      </c>
      <c r="D2438" s="9">
        <v>45395</v>
      </c>
      <c r="E2438" s="13" t="str">
        <f>+HYPERLINK("http://trademark.i-assist.jp/data/china/image_1883th/76495819.pdf","76495819")</f>
        <v>76495819</v>
      </c>
      <c r="F2438" s="7" t="s">
        <v>6668</v>
      </c>
      <c r="G2438" s="7" t="s">
        <v>6669</v>
      </c>
      <c r="H2438" s="7" t="s">
        <v>6670</v>
      </c>
      <c r="I2438" s="9">
        <v>45309</v>
      </c>
    </row>
    <row r="2439" spans="1:9" x14ac:dyDescent="0.15">
      <c r="A2439" s="6">
        <v>2438</v>
      </c>
      <c r="B2439" s="7" t="s">
        <v>9</v>
      </c>
      <c r="C2439" s="8">
        <v>1883</v>
      </c>
      <c r="D2439" s="9">
        <v>45395</v>
      </c>
      <c r="E2439" s="13" t="str">
        <f>+HYPERLINK("http://trademark.i-assist.jp/data/china/image_1883th/76496229.pdf","76496229")</f>
        <v>76496229</v>
      </c>
      <c r="F2439" s="7" t="s">
        <v>6671</v>
      </c>
      <c r="G2439" s="7" t="s">
        <v>6672</v>
      </c>
      <c r="H2439" s="7" t="s">
        <v>6673</v>
      </c>
      <c r="I2439" s="9">
        <v>45309</v>
      </c>
    </row>
    <row r="2440" spans="1:9" x14ac:dyDescent="0.15">
      <c r="A2440" s="6">
        <v>2439</v>
      </c>
      <c r="B2440" s="7" t="s">
        <v>9</v>
      </c>
      <c r="C2440" s="8">
        <v>1883</v>
      </c>
      <c r="D2440" s="9">
        <v>45395</v>
      </c>
      <c r="E2440" s="13" t="str">
        <f>+HYPERLINK("http://trademark.i-assist.jp/data/china/image_1883th/76496337.pdf","76496337")</f>
        <v>76496337</v>
      </c>
      <c r="F2440" s="7" t="s">
        <v>6674</v>
      </c>
      <c r="G2440" s="7" t="s">
        <v>6675</v>
      </c>
      <c r="H2440" s="7" t="s">
        <v>6676</v>
      </c>
      <c r="I2440" s="9">
        <v>45310</v>
      </c>
    </row>
    <row r="2441" spans="1:9" x14ac:dyDescent="0.15">
      <c r="A2441" s="6">
        <v>2440</v>
      </c>
      <c r="B2441" s="7" t="s">
        <v>9</v>
      </c>
      <c r="C2441" s="8">
        <v>1883</v>
      </c>
      <c r="D2441" s="9">
        <v>45395</v>
      </c>
      <c r="E2441" s="13" t="str">
        <f>+HYPERLINK("http://trademark.i-assist.jp/data/china/image_1883th/76496410.pdf","76496410")</f>
        <v>76496410</v>
      </c>
      <c r="F2441" s="7" t="s">
        <v>6677</v>
      </c>
      <c r="G2441" s="7" t="s">
        <v>1507</v>
      </c>
      <c r="H2441" s="7" t="s">
        <v>6678</v>
      </c>
      <c r="I2441" s="9">
        <v>45310</v>
      </c>
    </row>
    <row r="2442" spans="1:9" x14ac:dyDescent="0.15">
      <c r="A2442" s="6">
        <v>2441</v>
      </c>
      <c r="B2442" s="7" t="s">
        <v>9</v>
      </c>
      <c r="C2442" s="8">
        <v>1883</v>
      </c>
      <c r="D2442" s="9">
        <v>45395</v>
      </c>
      <c r="E2442" s="13" t="str">
        <f>+HYPERLINK("http://trademark.i-assist.jp/data/china/image_1883th/76496424.pdf","76496424")</f>
        <v>76496424</v>
      </c>
      <c r="F2442" s="7" t="s">
        <v>6679</v>
      </c>
      <c r="G2442" s="7" t="s">
        <v>6680</v>
      </c>
      <c r="H2442" s="7" t="s">
        <v>6681</v>
      </c>
      <c r="I2442" s="9">
        <v>45310</v>
      </c>
    </row>
    <row r="2443" spans="1:9" x14ac:dyDescent="0.15">
      <c r="A2443" s="6">
        <v>2442</v>
      </c>
      <c r="B2443" s="7" t="s">
        <v>9</v>
      </c>
      <c r="C2443" s="8">
        <v>1883</v>
      </c>
      <c r="D2443" s="9">
        <v>45395</v>
      </c>
      <c r="E2443" s="13" t="str">
        <f>+HYPERLINK("http://trademark.i-assist.jp/data/china/image_1883th/76496543.pdf","76496543")</f>
        <v>76496543</v>
      </c>
      <c r="F2443" s="7" t="s">
        <v>6682</v>
      </c>
      <c r="G2443" s="7" t="s">
        <v>6683</v>
      </c>
      <c r="H2443" s="7" t="s">
        <v>6684</v>
      </c>
      <c r="I2443" s="9">
        <v>45310</v>
      </c>
    </row>
    <row r="2444" spans="1:9" x14ac:dyDescent="0.15">
      <c r="A2444" s="6">
        <v>2443</v>
      </c>
      <c r="B2444" s="7" t="s">
        <v>9</v>
      </c>
      <c r="C2444" s="8">
        <v>1883</v>
      </c>
      <c r="D2444" s="9">
        <v>45395</v>
      </c>
      <c r="E2444" s="13" t="str">
        <f>+HYPERLINK("http://trademark.i-assist.jp/data/china/image_1883th/76496570.pdf","76496570")</f>
        <v>76496570</v>
      </c>
      <c r="F2444" s="7" t="s">
        <v>6685</v>
      </c>
      <c r="G2444" s="7" t="s">
        <v>5885</v>
      </c>
      <c r="H2444" s="7" t="s">
        <v>6686</v>
      </c>
      <c r="I2444" s="9">
        <v>45310</v>
      </c>
    </row>
    <row r="2445" spans="1:9" x14ac:dyDescent="0.15">
      <c r="A2445" s="6">
        <v>2444</v>
      </c>
      <c r="B2445" s="7" t="s">
        <v>9</v>
      </c>
      <c r="C2445" s="8">
        <v>1883</v>
      </c>
      <c r="D2445" s="9">
        <v>45395</v>
      </c>
      <c r="E2445" s="13" t="str">
        <f>+HYPERLINK("http://trademark.i-assist.jp/data/china/image_1883th/76496761.pdf","76496761")</f>
        <v>76496761</v>
      </c>
      <c r="F2445" s="7" t="s">
        <v>6687</v>
      </c>
      <c r="G2445" s="7" t="s">
        <v>6688</v>
      </c>
      <c r="H2445" s="7" t="s">
        <v>6689</v>
      </c>
      <c r="I2445" s="9">
        <v>45310</v>
      </c>
    </row>
    <row r="2446" spans="1:9" x14ac:dyDescent="0.15">
      <c r="A2446" s="6">
        <v>2445</v>
      </c>
      <c r="B2446" s="7" t="s">
        <v>9</v>
      </c>
      <c r="C2446" s="8">
        <v>1883</v>
      </c>
      <c r="D2446" s="9">
        <v>45395</v>
      </c>
      <c r="E2446" s="13" t="str">
        <f>+HYPERLINK("http://trademark.i-assist.jp/data/china/image_1883th/76497009.pdf","76497009")</f>
        <v>76497009</v>
      </c>
      <c r="F2446" s="7" t="s">
        <v>6690</v>
      </c>
      <c r="G2446" s="7" t="s">
        <v>5240</v>
      </c>
      <c r="H2446" s="7" t="s">
        <v>6691</v>
      </c>
      <c r="I2446" s="9">
        <v>45309</v>
      </c>
    </row>
    <row r="2447" spans="1:9" x14ac:dyDescent="0.15">
      <c r="A2447" s="6">
        <v>2446</v>
      </c>
      <c r="B2447" s="7" t="s">
        <v>9</v>
      </c>
      <c r="C2447" s="8">
        <v>1883</v>
      </c>
      <c r="D2447" s="9">
        <v>45395</v>
      </c>
      <c r="E2447" s="13" t="str">
        <f>+HYPERLINK("http://trademark.i-assist.jp/data/china/image_1883th/76497033.pdf","76497033")</f>
        <v>76497033</v>
      </c>
      <c r="F2447" s="7" t="s">
        <v>6692</v>
      </c>
      <c r="G2447" s="7" t="s">
        <v>6693</v>
      </c>
      <c r="H2447" s="7" t="s">
        <v>6694</v>
      </c>
      <c r="I2447" s="9">
        <v>45309</v>
      </c>
    </row>
    <row r="2448" spans="1:9" x14ac:dyDescent="0.15">
      <c r="A2448" s="6">
        <v>2447</v>
      </c>
      <c r="B2448" s="7" t="s">
        <v>9</v>
      </c>
      <c r="C2448" s="8">
        <v>1883</v>
      </c>
      <c r="D2448" s="9">
        <v>45395</v>
      </c>
      <c r="E2448" s="13" t="str">
        <f>+HYPERLINK("http://trademark.i-assist.jp/data/china/image_1883th/76497218.pdf","76497218")</f>
        <v>76497218</v>
      </c>
      <c r="F2448" s="7" t="s">
        <v>6695</v>
      </c>
      <c r="G2448" s="7" t="s">
        <v>6302</v>
      </c>
      <c r="H2448" s="7" t="s">
        <v>6696</v>
      </c>
      <c r="I2448" s="9">
        <v>45310</v>
      </c>
    </row>
    <row r="2449" spans="1:9" x14ac:dyDescent="0.15">
      <c r="A2449" s="6">
        <v>2448</v>
      </c>
      <c r="B2449" s="7" t="s">
        <v>9</v>
      </c>
      <c r="C2449" s="8">
        <v>1883</v>
      </c>
      <c r="D2449" s="9">
        <v>45395</v>
      </c>
      <c r="E2449" s="13" t="str">
        <f>+HYPERLINK("http://trademark.i-assist.jp/data/china/image_1883th/76497466.pdf","76497466")</f>
        <v>76497466</v>
      </c>
      <c r="F2449" s="7" t="s">
        <v>6697</v>
      </c>
      <c r="G2449" s="7" t="s">
        <v>6505</v>
      </c>
      <c r="H2449" s="7" t="s">
        <v>6698</v>
      </c>
      <c r="I2449" s="9">
        <v>45310</v>
      </c>
    </row>
    <row r="2450" spans="1:9" x14ac:dyDescent="0.15">
      <c r="A2450" s="6">
        <v>2449</v>
      </c>
      <c r="B2450" s="7" t="s">
        <v>9</v>
      </c>
      <c r="C2450" s="8">
        <v>1883</v>
      </c>
      <c r="D2450" s="9">
        <v>45395</v>
      </c>
      <c r="E2450" s="13" t="str">
        <f>+HYPERLINK("http://trademark.i-assist.jp/data/china/image_1883th/76497783.pdf","76497783")</f>
        <v>76497783</v>
      </c>
      <c r="F2450" s="7" t="s">
        <v>6699</v>
      </c>
      <c r="G2450" s="7" t="s">
        <v>6700</v>
      </c>
      <c r="H2450" s="7" t="s">
        <v>6701</v>
      </c>
      <c r="I2450" s="9">
        <v>45310</v>
      </c>
    </row>
    <row r="2451" spans="1:9" x14ac:dyDescent="0.15">
      <c r="A2451" s="6">
        <v>2450</v>
      </c>
      <c r="B2451" s="7" t="s">
        <v>9</v>
      </c>
      <c r="C2451" s="8">
        <v>1883</v>
      </c>
      <c r="D2451" s="9">
        <v>45395</v>
      </c>
      <c r="E2451" s="13" t="str">
        <f>+HYPERLINK("http://trademark.i-assist.jp/data/china/image_1883th/76498073.pdf","76498073")</f>
        <v>76498073</v>
      </c>
      <c r="F2451" s="7" t="s">
        <v>6702</v>
      </c>
      <c r="G2451" s="7" t="s">
        <v>6703</v>
      </c>
      <c r="H2451" s="7" t="s">
        <v>6704</v>
      </c>
      <c r="I2451" s="9">
        <v>45310</v>
      </c>
    </row>
    <row r="2452" spans="1:9" x14ac:dyDescent="0.15">
      <c r="A2452" s="6">
        <v>2451</v>
      </c>
      <c r="B2452" s="7" t="s">
        <v>9</v>
      </c>
      <c r="C2452" s="8">
        <v>1883</v>
      </c>
      <c r="D2452" s="9">
        <v>45395</v>
      </c>
      <c r="E2452" s="13" t="str">
        <f>+HYPERLINK("http://trademark.i-assist.jp/data/china/image_1883th/76498090.pdf","76498090")</f>
        <v>76498090</v>
      </c>
      <c r="F2452" s="7" t="s">
        <v>6705</v>
      </c>
      <c r="G2452" s="7" t="s">
        <v>6706</v>
      </c>
      <c r="H2452" s="7" t="s">
        <v>6707</v>
      </c>
      <c r="I2452" s="9">
        <v>45310</v>
      </c>
    </row>
    <row r="2453" spans="1:9" ht="27" x14ac:dyDescent="0.15">
      <c r="A2453" s="6">
        <v>2452</v>
      </c>
      <c r="B2453" s="7" t="s">
        <v>9</v>
      </c>
      <c r="C2453" s="8">
        <v>1883</v>
      </c>
      <c r="D2453" s="9">
        <v>45395</v>
      </c>
      <c r="E2453" s="13" t="str">
        <f>+HYPERLINK("http://trademark.i-assist.jp/data/china/image_1883th/76498292.pdf","76498292")</f>
        <v>76498292</v>
      </c>
      <c r="F2453" s="7" t="s">
        <v>6708</v>
      </c>
      <c r="G2453" s="7" t="s">
        <v>6709</v>
      </c>
      <c r="H2453" s="7" t="s">
        <v>6710</v>
      </c>
      <c r="I2453" s="9">
        <v>45310</v>
      </c>
    </row>
    <row r="2454" spans="1:9" x14ac:dyDescent="0.15">
      <c r="A2454" s="6">
        <v>2453</v>
      </c>
      <c r="B2454" s="7" t="s">
        <v>9</v>
      </c>
      <c r="C2454" s="8">
        <v>1883</v>
      </c>
      <c r="D2454" s="9">
        <v>45395</v>
      </c>
      <c r="E2454" s="13" t="str">
        <f>+HYPERLINK("http://trademark.i-assist.jp/data/china/image_1883th/76498586.pdf","76498586")</f>
        <v>76498586</v>
      </c>
      <c r="F2454" s="7" t="s">
        <v>6711</v>
      </c>
      <c r="G2454" s="7" t="s">
        <v>6712</v>
      </c>
      <c r="H2454" s="7" t="s">
        <v>6713</v>
      </c>
      <c r="I2454" s="9">
        <v>45310</v>
      </c>
    </row>
    <row r="2455" spans="1:9" x14ac:dyDescent="0.15">
      <c r="A2455" s="6">
        <v>2454</v>
      </c>
      <c r="B2455" s="7" t="s">
        <v>9</v>
      </c>
      <c r="C2455" s="8">
        <v>1883</v>
      </c>
      <c r="D2455" s="9">
        <v>45395</v>
      </c>
      <c r="E2455" s="13" t="str">
        <f>+HYPERLINK("http://trademark.i-assist.jp/data/china/image_1883th/76498721.pdf","76498721")</f>
        <v>76498721</v>
      </c>
      <c r="F2455" s="7" t="s">
        <v>6714</v>
      </c>
      <c r="G2455" s="7" t="s">
        <v>6715</v>
      </c>
      <c r="H2455" s="7" t="s">
        <v>6716</v>
      </c>
      <c r="I2455" s="9">
        <v>45309</v>
      </c>
    </row>
    <row r="2456" spans="1:9" x14ac:dyDescent="0.15">
      <c r="A2456" s="6">
        <v>2455</v>
      </c>
      <c r="B2456" s="7" t="s">
        <v>9</v>
      </c>
      <c r="C2456" s="8">
        <v>1883</v>
      </c>
      <c r="D2456" s="9">
        <v>45395</v>
      </c>
      <c r="E2456" s="13" t="str">
        <f>+HYPERLINK("http://trademark.i-assist.jp/data/china/image_1883th/76498743.pdf","76498743")</f>
        <v>76498743</v>
      </c>
      <c r="F2456" s="7" t="s">
        <v>6717</v>
      </c>
      <c r="G2456" s="7" t="s">
        <v>6718</v>
      </c>
      <c r="H2456" s="7" t="s">
        <v>6719</v>
      </c>
      <c r="I2456" s="9">
        <v>45309</v>
      </c>
    </row>
    <row r="2457" spans="1:9" x14ac:dyDescent="0.15">
      <c r="A2457" s="6">
        <v>2456</v>
      </c>
      <c r="B2457" s="7" t="s">
        <v>9</v>
      </c>
      <c r="C2457" s="8">
        <v>1883</v>
      </c>
      <c r="D2457" s="9">
        <v>45395</v>
      </c>
      <c r="E2457" s="13" t="str">
        <f>+HYPERLINK("http://trademark.i-assist.jp/data/china/image_1883th/76498819.pdf","76498819")</f>
        <v>76498819</v>
      </c>
      <c r="F2457" s="7" t="s">
        <v>6720</v>
      </c>
      <c r="G2457" s="7" t="s">
        <v>6721</v>
      </c>
      <c r="H2457" s="7" t="s">
        <v>6722</v>
      </c>
      <c r="I2457" s="9">
        <v>45309</v>
      </c>
    </row>
    <row r="2458" spans="1:9" ht="27" x14ac:dyDescent="0.15">
      <c r="A2458" s="6">
        <v>2457</v>
      </c>
      <c r="B2458" s="7" t="s">
        <v>9</v>
      </c>
      <c r="C2458" s="8">
        <v>1883</v>
      </c>
      <c r="D2458" s="9">
        <v>45395</v>
      </c>
      <c r="E2458" s="13" t="str">
        <f>+HYPERLINK("http://trademark.i-assist.jp/data/china/image_1883th/76498999.pdf","76498999")</f>
        <v>76498999</v>
      </c>
      <c r="F2458" s="7" t="s">
        <v>6723</v>
      </c>
      <c r="G2458" s="7" t="s">
        <v>6724</v>
      </c>
      <c r="H2458" s="7" t="s">
        <v>6725</v>
      </c>
      <c r="I2458" s="9">
        <v>45311</v>
      </c>
    </row>
    <row r="2459" spans="1:9" x14ac:dyDescent="0.15">
      <c r="A2459" s="6">
        <v>2458</v>
      </c>
      <c r="B2459" s="7" t="s">
        <v>9</v>
      </c>
      <c r="C2459" s="8">
        <v>1883</v>
      </c>
      <c r="D2459" s="9">
        <v>45395</v>
      </c>
      <c r="E2459" s="13" t="str">
        <f>+HYPERLINK("http://trademark.i-assist.jp/data/china/image_1883th/76499015.pdf","76499015")</f>
        <v>76499015</v>
      </c>
      <c r="F2459" s="7" t="s">
        <v>6726</v>
      </c>
      <c r="G2459" s="7" t="s">
        <v>5917</v>
      </c>
      <c r="H2459" s="7" t="s">
        <v>6637</v>
      </c>
      <c r="I2459" s="9">
        <v>45309</v>
      </c>
    </row>
    <row r="2460" spans="1:9" x14ac:dyDescent="0.15">
      <c r="A2460" s="6">
        <v>2459</v>
      </c>
      <c r="B2460" s="7" t="s">
        <v>9</v>
      </c>
      <c r="C2460" s="8">
        <v>1883</v>
      </c>
      <c r="D2460" s="9">
        <v>45395</v>
      </c>
      <c r="E2460" s="13" t="str">
        <f>+HYPERLINK("http://trademark.i-assist.jp/data/china/image_1883th/76499056.pdf","76499056")</f>
        <v>76499056</v>
      </c>
      <c r="F2460" s="7" t="s">
        <v>6727</v>
      </c>
      <c r="G2460" s="7" t="s">
        <v>6728</v>
      </c>
      <c r="H2460" s="7" t="s">
        <v>6729</v>
      </c>
      <c r="I2460" s="9">
        <v>45309</v>
      </c>
    </row>
    <row r="2461" spans="1:9" x14ac:dyDescent="0.15">
      <c r="A2461" s="6">
        <v>2460</v>
      </c>
      <c r="B2461" s="7" t="s">
        <v>9</v>
      </c>
      <c r="C2461" s="8">
        <v>1883</v>
      </c>
      <c r="D2461" s="9">
        <v>45395</v>
      </c>
      <c r="E2461" s="13" t="str">
        <f>+HYPERLINK("http://trademark.i-assist.jp/data/china/image_1883th/76499553.pdf","76499553")</f>
        <v>76499553</v>
      </c>
      <c r="F2461" s="7" t="s">
        <v>6730</v>
      </c>
      <c r="G2461" s="7" t="s">
        <v>6731</v>
      </c>
      <c r="H2461" s="7" t="s">
        <v>6732</v>
      </c>
      <c r="I2461" s="9">
        <v>45310</v>
      </c>
    </row>
    <row r="2462" spans="1:9" x14ac:dyDescent="0.15">
      <c r="A2462" s="6">
        <v>2461</v>
      </c>
      <c r="B2462" s="7" t="s">
        <v>9</v>
      </c>
      <c r="C2462" s="8">
        <v>1883</v>
      </c>
      <c r="D2462" s="9">
        <v>45395</v>
      </c>
      <c r="E2462" s="13" t="str">
        <f>+HYPERLINK("http://trademark.i-assist.jp/data/china/image_1883th/76499766.pdf","76499766")</f>
        <v>76499766</v>
      </c>
      <c r="F2462" s="7" t="s">
        <v>6733</v>
      </c>
      <c r="G2462" s="7" t="s">
        <v>6734</v>
      </c>
      <c r="H2462" s="7" t="s">
        <v>6735</v>
      </c>
      <c r="I2462" s="9">
        <v>45310</v>
      </c>
    </row>
    <row r="2463" spans="1:9" x14ac:dyDescent="0.15">
      <c r="A2463" s="6">
        <v>2462</v>
      </c>
      <c r="B2463" s="7" t="s">
        <v>9</v>
      </c>
      <c r="C2463" s="8">
        <v>1883</v>
      </c>
      <c r="D2463" s="9">
        <v>45395</v>
      </c>
      <c r="E2463" s="13" t="str">
        <f>+HYPERLINK("http://trademark.i-assist.jp/data/china/image_1883th/76499800.pdf","76499800")</f>
        <v>76499800</v>
      </c>
      <c r="F2463" s="7" t="s">
        <v>6736</v>
      </c>
      <c r="G2463" s="7" t="s">
        <v>6737</v>
      </c>
      <c r="H2463" s="7" t="s">
        <v>6738</v>
      </c>
      <c r="I2463" s="9">
        <v>45310</v>
      </c>
    </row>
    <row r="2464" spans="1:9" x14ac:dyDescent="0.15">
      <c r="A2464" s="6">
        <v>2463</v>
      </c>
      <c r="B2464" s="7" t="s">
        <v>9</v>
      </c>
      <c r="C2464" s="8">
        <v>1883</v>
      </c>
      <c r="D2464" s="9">
        <v>45395</v>
      </c>
      <c r="E2464" s="13" t="str">
        <f>+HYPERLINK("http://trademark.i-assist.jp/data/china/image_1883th/76500049.pdf","76500049")</f>
        <v>76500049</v>
      </c>
      <c r="F2464" s="7" t="s">
        <v>6739</v>
      </c>
      <c r="G2464" s="7" t="s">
        <v>6740</v>
      </c>
      <c r="H2464" s="7" t="s">
        <v>6741</v>
      </c>
      <c r="I2464" s="9">
        <v>45310</v>
      </c>
    </row>
    <row r="2465" spans="1:9" ht="27" x14ac:dyDescent="0.15">
      <c r="A2465" s="6">
        <v>2464</v>
      </c>
      <c r="B2465" s="7" t="s">
        <v>9</v>
      </c>
      <c r="C2465" s="8">
        <v>1883</v>
      </c>
      <c r="D2465" s="9">
        <v>45395</v>
      </c>
      <c r="E2465" s="13" t="str">
        <f>+HYPERLINK("http://trademark.i-assist.jp/data/china/image_1883th/76500160.pdf","76500160")</f>
        <v>76500160</v>
      </c>
      <c r="F2465" s="7" t="s">
        <v>6742</v>
      </c>
      <c r="G2465" s="7" t="s">
        <v>6743</v>
      </c>
      <c r="H2465" s="7" t="s">
        <v>6744</v>
      </c>
      <c r="I2465" s="9">
        <v>45310</v>
      </c>
    </row>
    <row r="2466" spans="1:9" x14ac:dyDescent="0.15">
      <c r="A2466" s="6">
        <v>2465</v>
      </c>
      <c r="B2466" s="7" t="s">
        <v>9</v>
      </c>
      <c r="C2466" s="8">
        <v>1883</v>
      </c>
      <c r="D2466" s="9">
        <v>45395</v>
      </c>
      <c r="E2466" s="13" t="str">
        <f>+HYPERLINK("http://trademark.i-assist.jp/data/china/image_1883th/76500171.pdf","76500171")</f>
        <v>76500171</v>
      </c>
      <c r="F2466" s="7" t="s">
        <v>6745</v>
      </c>
      <c r="G2466" s="7" t="s">
        <v>6746</v>
      </c>
      <c r="H2466" s="7" t="s">
        <v>6747</v>
      </c>
      <c r="I2466" s="9">
        <v>45310</v>
      </c>
    </row>
    <row r="2467" spans="1:9" x14ac:dyDescent="0.15">
      <c r="A2467" s="6">
        <v>2466</v>
      </c>
      <c r="B2467" s="7" t="s">
        <v>9</v>
      </c>
      <c r="C2467" s="8">
        <v>1883</v>
      </c>
      <c r="D2467" s="9">
        <v>45395</v>
      </c>
      <c r="E2467" s="13" t="str">
        <f>+HYPERLINK("http://trademark.i-assist.jp/data/china/image_1883th/76500618.pdf","76500618")</f>
        <v>76500618</v>
      </c>
      <c r="F2467" s="7" t="s">
        <v>6748</v>
      </c>
      <c r="G2467" s="7" t="s">
        <v>6749</v>
      </c>
      <c r="H2467" s="7" t="s">
        <v>6750</v>
      </c>
      <c r="I2467" s="9">
        <v>45310</v>
      </c>
    </row>
    <row r="2468" spans="1:9" x14ac:dyDescent="0.15">
      <c r="A2468" s="6">
        <v>2467</v>
      </c>
      <c r="B2468" s="7" t="s">
        <v>9</v>
      </c>
      <c r="C2468" s="8">
        <v>1883</v>
      </c>
      <c r="D2468" s="9">
        <v>45395</v>
      </c>
      <c r="E2468" s="13" t="str">
        <f>+HYPERLINK("http://trademark.i-assist.jp/data/china/image_1883th/76500628.pdf","76500628")</f>
        <v>76500628</v>
      </c>
      <c r="F2468" s="7" t="s">
        <v>6751</v>
      </c>
      <c r="G2468" s="7" t="s">
        <v>5917</v>
      </c>
      <c r="H2468" s="7" t="s">
        <v>6752</v>
      </c>
      <c r="I2468" s="9">
        <v>45309</v>
      </c>
    </row>
    <row r="2469" spans="1:9" x14ac:dyDescent="0.15">
      <c r="A2469" s="6">
        <v>2468</v>
      </c>
      <c r="B2469" s="7" t="s">
        <v>9</v>
      </c>
      <c r="C2469" s="8">
        <v>1883</v>
      </c>
      <c r="D2469" s="9">
        <v>45395</v>
      </c>
      <c r="E2469" s="13" t="str">
        <f>+HYPERLINK("http://trademark.i-assist.jp/data/china/image_1883th/76500796.pdf","76500796")</f>
        <v>76500796</v>
      </c>
      <c r="F2469" s="7" t="s">
        <v>6753</v>
      </c>
      <c r="G2469" s="7" t="s">
        <v>5749</v>
      </c>
      <c r="H2469" s="7" t="s">
        <v>6754</v>
      </c>
      <c r="I2469" s="9">
        <v>45310</v>
      </c>
    </row>
    <row r="2470" spans="1:9" x14ac:dyDescent="0.15">
      <c r="A2470" s="6">
        <v>2469</v>
      </c>
      <c r="B2470" s="7" t="s">
        <v>9</v>
      </c>
      <c r="C2470" s="8">
        <v>1883</v>
      </c>
      <c r="D2470" s="9">
        <v>45395</v>
      </c>
      <c r="E2470" s="13" t="str">
        <f>+HYPERLINK("http://trademark.i-assist.jp/data/china/image_1883th/76500952.pdf","76500952")</f>
        <v>76500952</v>
      </c>
      <c r="F2470" s="7" t="s">
        <v>6755</v>
      </c>
      <c r="G2470" s="7" t="s">
        <v>6756</v>
      </c>
      <c r="H2470" s="7" t="s">
        <v>6757</v>
      </c>
      <c r="I2470" s="9">
        <v>45310</v>
      </c>
    </row>
    <row r="2471" spans="1:9" ht="27" x14ac:dyDescent="0.15">
      <c r="A2471" s="6">
        <v>2470</v>
      </c>
      <c r="B2471" s="7" t="s">
        <v>9</v>
      </c>
      <c r="C2471" s="8">
        <v>1883</v>
      </c>
      <c r="D2471" s="9">
        <v>45395</v>
      </c>
      <c r="E2471" s="13" t="str">
        <f>+HYPERLINK("http://trademark.i-assist.jp/data/china/image_1883th/76500996.pdf","76500996")</f>
        <v>76500996</v>
      </c>
      <c r="F2471" s="7" t="s">
        <v>6758</v>
      </c>
      <c r="G2471" s="7" t="s">
        <v>5993</v>
      </c>
      <c r="H2471" s="7" t="s">
        <v>6759</v>
      </c>
      <c r="I2471" s="9">
        <v>45309</v>
      </c>
    </row>
    <row r="2472" spans="1:9" x14ac:dyDescent="0.15">
      <c r="A2472" s="6">
        <v>2471</v>
      </c>
      <c r="B2472" s="7" t="s">
        <v>9</v>
      </c>
      <c r="C2472" s="8">
        <v>1883</v>
      </c>
      <c r="D2472" s="9">
        <v>45395</v>
      </c>
      <c r="E2472" s="13" t="str">
        <f>+HYPERLINK("http://trademark.i-assist.jp/data/china/image_1883th/76501122.pdf","76501122")</f>
        <v>76501122</v>
      </c>
      <c r="F2472" s="7" t="s">
        <v>6760</v>
      </c>
      <c r="G2472" s="7" t="s">
        <v>6761</v>
      </c>
      <c r="H2472" s="7" t="s">
        <v>6762</v>
      </c>
      <c r="I2472" s="9">
        <v>45309</v>
      </c>
    </row>
    <row r="2473" spans="1:9" x14ac:dyDescent="0.15">
      <c r="A2473" s="6">
        <v>2472</v>
      </c>
      <c r="B2473" s="7" t="s">
        <v>9</v>
      </c>
      <c r="C2473" s="8">
        <v>1883</v>
      </c>
      <c r="D2473" s="9">
        <v>45395</v>
      </c>
      <c r="E2473" s="13" t="str">
        <f>+HYPERLINK("http://trademark.i-assist.jp/data/china/image_1883th/76501615.pdf","76501615")</f>
        <v>76501615</v>
      </c>
      <c r="F2473" s="7" t="s">
        <v>6763</v>
      </c>
      <c r="G2473" s="7" t="s">
        <v>6440</v>
      </c>
      <c r="H2473" s="7" t="s">
        <v>6764</v>
      </c>
      <c r="I2473" s="9">
        <v>45310</v>
      </c>
    </row>
    <row r="2474" spans="1:9" ht="27" x14ac:dyDescent="0.15">
      <c r="A2474" s="6">
        <v>2473</v>
      </c>
      <c r="B2474" s="7" t="s">
        <v>9</v>
      </c>
      <c r="C2474" s="8">
        <v>1883</v>
      </c>
      <c r="D2474" s="9">
        <v>45395</v>
      </c>
      <c r="E2474" s="13" t="str">
        <f>+HYPERLINK("http://trademark.i-assist.jp/data/china/image_1883th/76501657.pdf","76501657")</f>
        <v>76501657</v>
      </c>
      <c r="F2474" s="7" t="s">
        <v>6765</v>
      </c>
      <c r="G2474" s="7" t="s">
        <v>6766</v>
      </c>
      <c r="H2474" s="7" t="s">
        <v>6767</v>
      </c>
      <c r="I2474" s="9">
        <v>45310</v>
      </c>
    </row>
    <row r="2475" spans="1:9" ht="27" x14ac:dyDescent="0.15">
      <c r="A2475" s="6">
        <v>2474</v>
      </c>
      <c r="B2475" s="7" t="s">
        <v>9</v>
      </c>
      <c r="C2475" s="8">
        <v>1883</v>
      </c>
      <c r="D2475" s="9">
        <v>45395</v>
      </c>
      <c r="E2475" s="13" t="str">
        <f>+HYPERLINK("http://trademark.i-assist.jp/data/china/image_1883th/76501864.pdf","76501864")</f>
        <v>76501864</v>
      </c>
      <c r="F2475" s="7" t="s">
        <v>6768</v>
      </c>
      <c r="G2475" s="7" t="s">
        <v>6354</v>
      </c>
      <c r="H2475" s="7" t="s">
        <v>6769</v>
      </c>
      <c r="I2475" s="9">
        <v>45310</v>
      </c>
    </row>
    <row r="2476" spans="1:9" ht="27" x14ac:dyDescent="0.15">
      <c r="A2476" s="6">
        <v>2475</v>
      </c>
      <c r="B2476" s="7" t="s">
        <v>9</v>
      </c>
      <c r="C2476" s="8">
        <v>1883</v>
      </c>
      <c r="D2476" s="9">
        <v>45395</v>
      </c>
      <c r="E2476" s="13" t="str">
        <f>+HYPERLINK("http://trademark.i-assist.jp/data/china/image_1883th/76501925.pdf","76501925")</f>
        <v>76501925</v>
      </c>
      <c r="F2476" s="7" t="s">
        <v>6770</v>
      </c>
      <c r="G2476" s="7" t="s">
        <v>997</v>
      </c>
      <c r="H2476" s="7" t="s">
        <v>6771</v>
      </c>
      <c r="I2476" s="9">
        <v>45310</v>
      </c>
    </row>
    <row r="2477" spans="1:9" x14ac:dyDescent="0.15">
      <c r="A2477" s="6">
        <v>2476</v>
      </c>
      <c r="B2477" s="7" t="s">
        <v>9</v>
      </c>
      <c r="C2477" s="8">
        <v>1883</v>
      </c>
      <c r="D2477" s="9">
        <v>45395</v>
      </c>
      <c r="E2477" s="13" t="str">
        <f>+HYPERLINK("http://trademark.i-assist.jp/data/china/image_1883th/76502111.pdf","76502111")</f>
        <v>76502111</v>
      </c>
      <c r="F2477" s="7" t="s">
        <v>6772</v>
      </c>
      <c r="G2477" s="7" t="s">
        <v>6773</v>
      </c>
      <c r="H2477" s="7" t="s">
        <v>6774</v>
      </c>
      <c r="I2477" s="9">
        <v>45309</v>
      </c>
    </row>
    <row r="2478" spans="1:9" ht="27" x14ac:dyDescent="0.15">
      <c r="A2478" s="6">
        <v>2477</v>
      </c>
      <c r="B2478" s="7" t="s">
        <v>9</v>
      </c>
      <c r="C2478" s="8">
        <v>1883</v>
      </c>
      <c r="D2478" s="9">
        <v>45395</v>
      </c>
      <c r="E2478" s="13" t="str">
        <f>+HYPERLINK("http://trademark.i-assist.jp/data/china/image_1883th/76502181.pdf","76502181")</f>
        <v>76502181</v>
      </c>
      <c r="F2478" s="7" t="s">
        <v>6775</v>
      </c>
      <c r="G2478" s="7" t="s">
        <v>6776</v>
      </c>
      <c r="H2478" s="7" t="s">
        <v>6777</v>
      </c>
      <c r="I2478" s="9">
        <v>45309</v>
      </c>
    </row>
    <row r="2479" spans="1:9" x14ac:dyDescent="0.15">
      <c r="A2479" s="6">
        <v>2478</v>
      </c>
      <c r="B2479" s="7" t="s">
        <v>9</v>
      </c>
      <c r="C2479" s="8">
        <v>1883</v>
      </c>
      <c r="D2479" s="9">
        <v>45395</v>
      </c>
      <c r="E2479" s="13" t="str">
        <f>+HYPERLINK("http://trademark.i-assist.jp/data/china/image_1883th/76502231.pdf","76502231")</f>
        <v>76502231</v>
      </c>
      <c r="F2479" s="7" t="s">
        <v>6778</v>
      </c>
      <c r="G2479" s="7" t="s">
        <v>5791</v>
      </c>
      <c r="H2479" s="7" t="s">
        <v>6779</v>
      </c>
      <c r="I2479" s="9">
        <v>45310</v>
      </c>
    </row>
    <row r="2480" spans="1:9" ht="27" x14ac:dyDescent="0.15">
      <c r="A2480" s="6">
        <v>2479</v>
      </c>
      <c r="B2480" s="7" t="s">
        <v>9</v>
      </c>
      <c r="C2480" s="8">
        <v>1883</v>
      </c>
      <c r="D2480" s="9">
        <v>45395</v>
      </c>
      <c r="E2480" s="13" t="str">
        <f>+HYPERLINK("http://trademark.i-assist.jp/data/china/image_1883th/76502417.pdf","76502417")</f>
        <v>76502417</v>
      </c>
      <c r="F2480" s="7" t="s">
        <v>6780</v>
      </c>
      <c r="G2480" s="7" t="s">
        <v>6781</v>
      </c>
      <c r="H2480" s="7" t="s">
        <v>6782</v>
      </c>
      <c r="I2480" s="9">
        <v>45309</v>
      </c>
    </row>
    <row r="2481" spans="1:9" x14ac:dyDescent="0.15">
      <c r="A2481" s="6">
        <v>2480</v>
      </c>
      <c r="B2481" s="7" t="s">
        <v>9</v>
      </c>
      <c r="C2481" s="8">
        <v>1883</v>
      </c>
      <c r="D2481" s="9">
        <v>45395</v>
      </c>
      <c r="E2481" s="13" t="str">
        <f>+HYPERLINK("http://trademark.i-assist.jp/data/china/image_1883th/76502951.pdf","76502951")</f>
        <v>76502951</v>
      </c>
      <c r="F2481" s="7" t="s">
        <v>6783</v>
      </c>
      <c r="G2481" s="7" t="s">
        <v>6784</v>
      </c>
      <c r="H2481" s="7" t="s">
        <v>6785</v>
      </c>
      <c r="I2481" s="9">
        <v>45310</v>
      </c>
    </row>
    <row r="2482" spans="1:9" ht="27" x14ac:dyDescent="0.15">
      <c r="A2482" s="6">
        <v>2481</v>
      </c>
      <c r="B2482" s="7" t="s">
        <v>9</v>
      </c>
      <c r="C2482" s="8">
        <v>1883</v>
      </c>
      <c r="D2482" s="9">
        <v>45395</v>
      </c>
      <c r="E2482" s="13" t="str">
        <f>+HYPERLINK("http://trademark.i-assist.jp/data/china/image_1883th/76503153.pdf","76503153")</f>
        <v>76503153</v>
      </c>
      <c r="F2482" s="7" t="s">
        <v>6786</v>
      </c>
      <c r="G2482" s="7" t="s">
        <v>6602</v>
      </c>
      <c r="H2482" s="7" t="s">
        <v>6787</v>
      </c>
      <c r="I2482" s="9">
        <v>45311</v>
      </c>
    </row>
    <row r="2483" spans="1:9" ht="27" x14ac:dyDescent="0.15">
      <c r="A2483" s="6">
        <v>2482</v>
      </c>
      <c r="B2483" s="7" t="s">
        <v>9</v>
      </c>
      <c r="C2483" s="8">
        <v>1883</v>
      </c>
      <c r="D2483" s="9">
        <v>45395</v>
      </c>
      <c r="E2483" s="13" t="str">
        <f>+HYPERLINK("http://trademark.i-assist.jp/data/china/image_1883th/76503164.pdf","76503164")</f>
        <v>76503164</v>
      </c>
      <c r="F2483" s="7" t="s">
        <v>6788</v>
      </c>
      <c r="G2483" s="7" t="s">
        <v>6724</v>
      </c>
      <c r="H2483" s="7" t="s">
        <v>6789</v>
      </c>
      <c r="I2483" s="9">
        <v>45311</v>
      </c>
    </row>
    <row r="2484" spans="1:9" x14ac:dyDescent="0.15">
      <c r="A2484" s="6">
        <v>2483</v>
      </c>
      <c r="B2484" s="7" t="s">
        <v>9</v>
      </c>
      <c r="C2484" s="8">
        <v>1883</v>
      </c>
      <c r="D2484" s="9">
        <v>45395</v>
      </c>
      <c r="E2484" s="13" t="str">
        <f>+HYPERLINK("http://trademark.i-assist.jp/data/china/image_1883th/76503172.pdf","76503172")</f>
        <v>76503172</v>
      </c>
      <c r="F2484" s="7" t="s">
        <v>6790</v>
      </c>
      <c r="G2484" s="7" t="s">
        <v>5917</v>
      </c>
      <c r="H2484" s="7" t="s">
        <v>6637</v>
      </c>
      <c r="I2484" s="9">
        <v>45309</v>
      </c>
    </row>
    <row r="2485" spans="1:9" x14ac:dyDescent="0.15">
      <c r="A2485" s="6">
        <v>2484</v>
      </c>
      <c r="B2485" s="7" t="s">
        <v>9</v>
      </c>
      <c r="C2485" s="8">
        <v>1883</v>
      </c>
      <c r="D2485" s="9">
        <v>45395</v>
      </c>
      <c r="E2485" s="13" t="str">
        <f>+HYPERLINK("http://trademark.i-assist.jp/data/china/image_1883th/76503186.pdf","76503186")</f>
        <v>76503186</v>
      </c>
      <c r="F2485" s="7" t="s">
        <v>6791</v>
      </c>
      <c r="G2485" s="7" t="s">
        <v>6792</v>
      </c>
      <c r="H2485" s="7" t="s">
        <v>6793</v>
      </c>
      <c r="I2485" s="9">
        <v>45309</v>
      </c>
    </row>
    <row r="2486" spans="1:9" x14ac:dyDescent="0.15">
      <c r="A2486" s="6">
        <v>2485</v>
      </c>
      <c r="B2486" s="7" t="s">
        <v>9</v>
      </c>
      <c r="C2486" s="8">
        <v>1883</v>
      </c>
      <c r="D2486" s="9">
        <v>45395</v>
      </c>
      <c r="E2486" s="13" t="str">
        <f>+HYPERLINK("http://trademark.i-assist.jp/data/china/image_1883th/76503261.pdf","76503261")</f>
        <v>76503261</v>
      </c>
      <c r="F2486" s="7" t="s">
        <v>6794</v>
      </c>
      <c r="G2486" s="7" t="s">
        <v>6795</v>
      </c>
      <c r="H2486" s="7" t="s">
        <v>6796</v>
      </c>
      <c r="I2486" s="9">
        <v>45309</v>
      </c>
    </row>
    <row r="2487" spans="1:9" x14ac:dyDescent="0.15">
      <c r="A2487" s="6">
        <v>2486</v>
      </c>
      <c r="B2487" s="7" t="s">
        <v>9</v>
      </c>
      <c r="C2487" s="8">
        <v>1883</v>
      </c>
      <c r="D2487" s="9">
        <v>45395</v>
      </c>
      <c r="E2487" s="13" t="str">
        <f>+HYPERLINK("http://trademark.i-assist.jp/data/china/image_1883th/76503672.pdf","76503672")</f>
        <v>76503672</v>
      </c>
      <c r="F2487" s="7" t="s">
        <v>6797</v>
      </c>
      <c r="G2487" s="7" t="s">
        <v>6798</v>
      </c>
      <c r="H2487" s="7" t="s">
        <v>6799</v>
      </c>
      <c r="I2487" s="9">
        <v>45310</v>
      </c>
    </row>
    <row r="2488" spans="1:9" x14ac:dyDescent="0.15">
      <c r="A2488" s="6">
        <v>2487</v>
      </c>
      <c r="B2488" s="7" t="s">
        <v>9</v>
      </c>
      <c r="C2488" s="8">
        <v>1883</v>
      </c>
      <c r="D2488" s="9">
        <v>45395</v>
      </c>
      <c r="E2488" s="13" t="str">
        <f>+HYPERLINK("http://trademark.i-assist.jp/data/china/image_1883th/76504054.pdf","76504054")</f>
        <v>76504054</v>
      </c>
      <c r="F2488" s="7" t="s">
        <v>6800</v>
      </c>
      <c r="G2488" s="7" t="s">
        <v>6801</v>
      </c>
      <c r="H2488" s="7" t="s">
        <v>6802</v>
      </c>
      <c r="I2488" s="9">
        <v>45309</v>
      </c>
    </row>
    <row r="2489" spans="1:9" ht="27" x14ac:dyDescent="0.15">
      <c r="A2489" s="6">
        <v>2488</v>
      </c>
      <c r="B2489" s="7" t="s">
        <v>9</v>
      </c>
      <c r="C2489" s="8">
        <v>1883</v>
      </c>
      <c r="D2489" s="9">
        <v>45395</v>
      </c>
      <c r="E2489" s="13" t="str">
        <f>+HYPERLINK("http://trademark.i-assist.jp/data/china/image_1883th/76504126.pdf","76504126")</f>
        <v>76504126</v>
      </c>
      <c r="F2489" s="7" t="s">
        <v>6803</v>
      </c>
      <c r="G2489" s="7" t="s">
        <v>6804</v>
      </c>
      <c r="H2489" s="7" t="s">
        <v>6805</v>
      </c>
      <c r="I2489" s="9">
        <v>45309</v>
      </c>
    </row>
    <row r="2490" spans="1:9" x14ac:dyDescent="0.15">
      <c r="A2490" s="6">
        <v>2489</v>
      </c>
      <c r="B2490" s="7" t="s">
        <v>9</v>
      </c>
      <c r="C2490" s="8">
        <v>1883</v>
      </c>
      <c r="D2490" s="9">
        <v>45395</v>
      </c>
      <c r="E2490" s="13" t="str">
        <f>+HYPERLINK("http://trademark.i-assist.jp/data/china/image_1883th/76504245.pdf","76504245")</f>
        <v>76504245</v>
      </c>
      <c r="F2490" s="7" t="s">
        <v>6806</v>
      </c>
      <c r="G2490" s="7" t="s">
        <v>6807</v>
      </c>
      <c r="H2490" s="7" t="s">
        <v>6808</v>
      </c>
      <c r="I2490" s="9">
        <v>45310</v>
      </c>
    </row>
    <row r="2491" spans="1:9" x14ac:dyDescent="0.15">
      <c r="A2491" s="6">
        <v>2490</v>
      </c>
      <c r="B2491" s="7" t="s">
        <v>9</v>
      </c>
      <c r="C2491" s="8">
        <v>1883</v>
      </c>
      <c r="D2491" s="9">
        <v>45395</v>
      </c>
      <c r="E2491" s="13" t="str">
        <f>+HYPERLINK("http://trademark.i-assist.jp/data/china/image_1883th/76504327.pdf","76504327")</f>
        <v>76504327</v>
      </c>
      <c r="F2491" s="7" t="s">
        <v>6809</v>
      </c>
      <c r="G2491" s="7" t="s">
        <v>6536</v>
      </c>
      <c r="H2491" s="7" t="s">
        <v>6810</v>
      </c>
      <c r="I2491" s="9">
        <v>45310</v>
      </c>
    </row>
    <row r="2492" spans="1:9" x14ac:dyDescent="0.15">
      <c r="A2492" s="6">
        <v>2491</v>
      </c>
      <c r="B2492" s="7" t="s">
        <v>9</v>
      </c>
      <c r="C2492" s="8">
        <v>1883</v>
      </c>
      <c r="D2492" s="9">
        <v>45395</v>
      </c>
      <c r="E2492" s="13" t="str">
        <f>+HYPERLINK("http://trademark.i-assist.jp/data/china/image_1883th/76504428.pdf","76504428")</f>
        <v>76504428</v>
      </c>
      <c r="F2492" s="7" t="s">
        <v>6811</v>
      </c>
      <c r="G2492" s="7" t="s">
        <v>6812</v>
      </c>
      <c r="H2492" s="7" t="s">
        <v>6813</v>
      </c>
      <c r="I2492" s="9">
        <v>45310</v>
      </c>
    </row>
    <row r="2493" spans="1:9" x14ac:dyDescent="0.15">
      <c r="A2493" s="6">
        <v>2492</v>
      </c>
      <c r="B2493" s="7" t="s">
        <v>9</v>
      </c>
      <c r="C2493" s="8">
        <v>1883</v>
      </c>
      <c r="D2493" s="9">
        <v>45395</v>
      </c>
      <c r="E2493" s="13" t="str">
        <f>+HYPERLINK("http://trademark.i-assist.jp/data/china/image_1883th/76504535.pdf","76504535")</f>
        <v>76504535</v>
      </c>
      <c r="F2493" s="7" t="s">
        <v>6814</v>
      </c>
      <c r="G2493" s="7" t="s">
        <v>6815</v>
      </c>
      <c r="H2493" s="7" t="s">
        <v>6816</v>
      </c>
      <c r="I2493" s="9">
        <v>45310</v>
      </c>
    </row>
    <row r="2494" spans="1:9" x14ac:dyDescent="0.15">
      <c r="A2494" s="6">
        <v>2493</v>
      </c>
      <c r="B2494" s="7" t="s">
        <v>9</v>
      </c>
      <c r="C2494" s="8">
        <v>1883</v>
      </c>
      <c r="D2494" s="9">
        <v>45395</v>
      </c>
      <c r="E2494" s="13" t="str">
        <f>+HYPERLINK("http://trademark.i-assist.jp/data/china/image_1883th/76504778.pdf","76504778")</f>
        <v>76504778</v>
      </c>
      <c r="F2494" s="7" t="s">
        <v>6817</v>
      </c>
      <c r="G2494" s="7" t="s">
        <v>6818</v>
      </c>
      <c r="H2494" s="7" t="s">
        <v>6819</v>
      </c>
      <c r="I2494" s="9">
        <v>45310</v>
      </c>
    </row>
    <row r="2495" spans="1:9" x14ac:dyDescent="0.15">
      <c r="A2495" s="6">
        <v>2494</v>
      </c>
      <c r="B2495" s="7" t="s">
        <v>9</v>
      </c>
      <c r="C2495" s="8">
        <v>1883</v>
      </c>
      <c r="D2495" s="9">
        <v>45395</v>
      </c>
      <c r="E2495" s="13" t="str">
        <f>+HYPERLINK("http://trademark.i-assist.jp/data/china/image_1883th/76504780.pdf","76504780")</f>
        <v>76504780</v>
      </c>
      <c r="F2495" s="7" t="s">
        <v>6820</v>
      </c>
      <c r="G2495" s="7" t="s">
        <v>6821</v>
      </c>
      <c r="H2495" s="7" t="s">
        <v>6822</v>
      </c>
      <c r="I2495" s="9">
        <v>45310</v>
      </c>
    </row>
    <row r="2496" spans="1:9" ht="27" x14ac:dyDescent="0.15">
      <c r="A2496" s="6">
        <v>2495</v>
      </c>
      <c r="B2496" s="7" t="s">
        <v>9</v>
      </c>
      <c r="C2496" s="8">
        <v>1883</v>
      </c>
      <c r="D2496" s="9">
        <v>45395</v>
      </c>
      <c r="E2496" s="13" t="str">
        <f>+HYPERLINK("http://trademark.i-assist.jp/data/china/image_1883th/76504875.pdf","76504875")</f>
        <v>76504875</v>
      </c>
      <c r="F2496" s="7" t="s">
        <v>6823</v>
      </c>
      <c r="G2496" s="7" t="s">
        <v>6413</v>
      </c>
      <c r="H2496" s="7" t="s">
        <v>6824</v>
      </c>
      <c r="I2496" s="9">
        <v>45310</v>
      </c>
    </row>
    <row r="2497" spans="1:9" x14ac:dyDescent="0.15">
      <c r="A2497" s="6">
        <v>2496</v>
      </c>
      <c r="B2497" s="7" t="s">
        <v>9</v>
      </c>
      <c r="C2497" s="8">
        <v>1883</v>
      </c>
      <c r="D2497" s="9">
        <v>45395</v>
      </c>
      <c r="E2497" s="13" t="str">
        <f>+HYPERLINK("http://trademark.i-assist.jp/data/china/image_1883th/76504885.pdf","76504885")</f>
        <v>76504885</v>
      </c>
      <c r="F2497" s="7" t="s">
        <v>6825</v>
      </c>
      <c r="G2497" s="7" t="s">
        <v>6826</v>
      </c>
      <c r="H2497" s="7" t="s">
        <v>6827</v>
      </c>
      <c r="I2497" s="9">
        <v>45310</v>
      </c>
    </row>
    <row r="2498" spans="1:9" x14ac:dyDescent="0.15">
      <c r="A2498" s="6">
        <v>2497</v>
      </c>
      <c r="B2498" s="7" t="s">
        <v>9</v>
      </c>
      <c r="C2498" s="8">
        <v>1883</v>
      </c>
      <c r="D2498" s="9">
        <v>45395</v>
      </c>
      <c r="E2498" s="13" t="str">
        <f>+HYPERLINK("http://trademark.i-assist.jp/data/china/image_1883th/76504906.pdf","76504906")</f>
        <v>76504906</v>
      </c>
      <c r="F2498" s="7" t="s">
        <v>6828</v>
      </c>
      <c r="G2498" s="7" t="s">
        <v>3786</v>
      </c>
      <c r="H2498" s="7" t="s">
        <v>6829</v>
      </c>
      <c r="I2498" s="9">
        <v>45310</v>
      </c>
    </row>
    <row r="2499" spans="1:9" x14ac:dyDescent="0.15">
      <c r="A2499" s="6">
        <v>2498</v>
      </c>
      <c r="B2499" s="7" t="s">
        <v>9</v>
      </c>
      <c r="C2499" s="8">
        <v>1883</v>
      </c>
      <c r="D2499" s="9">
        <v>45395</v>
      </c>
      <c r="E2499" s="13" t="str">
        <f>+HYPERLINK("http://trademark.i-assist.jp/data/china/image_1883th/76505097.pdf","76505097")</f>
        <v>76505097</v>
      </c>
      <c r="F2499" s="7" t="s">
        <v>6830</v>
      </c>
      <c r="G2499" s="7" t="s">
        <v>6831</v>
      </c>
      <c r="H2499" s="7" t="s">
        <v>6832</v>
      </c>
      <c r="I2499" s="9">
        <v>45310</v>
      </c>
    </row>
    <row r="2500" spans="1:9" x14ac:dyDescent="0.15">
      <c r="A2500" s="6">
        <v>2499</v>
      </c>
      <c r="B2500" s="7" t="s">
        <v>9</v>
      </c>
      <c r="C2500" s="8">
        <v>1883</v>
      </c>
      <c r="D2500" s="9">
        <v>45395</v>
      </c>
      <c r="E2500" s="13" t="str">
        <f>+HYPERLINK("http://trademark.i-assist.jp/data/china/image_1883th/76505271.pdf","76505271")</f>
        <v>76505271</v>
      </c>
      <c r="F2500" s="7" t="s">
        <v>6833</v>
      </c>
      <c r="G2500" s="7" t="s">
        <v>6834</v>
      </c>
      <c r="H2500" s="7" t="s">
        <v>6835</v>
      </c>
      <c r="I2500" s="9">
        <v>45310</v>
      </c>
    </row>
    <row r="2501" spans="1:9" x14ac:dyDescent="0.15">
      <c r="A2501" s="6">
        <v>2500</v>
      </c>
      <c r="B2501" s="7" t="s">
        <v>9</v>
      </c>
      <c r="C2501" s="8">
        <v>1883</v>
      </c>
      <c r="D2501" s="9">
        <v>45395</v>
      </c>
      <c r="E2501" s="13" t="str">
        <f>+HYPERLINK("http://trademark.i-assist.jp/data/china/image_1883th/76505285.pdf","76505285")</f>
        <v>76505285</v>
      </c>
      <c r="F2501" s="7" t="s">
        <v>6836</v>
      </c>
      <c r="G2501" s="7" t="s">
        <v>6045</v>
      </c>
      <c r="H2501" s="7" t="s">
        <v>6837</v>
      </c>
      <c r="I2501" s="9">
        <v>45310</v>
      </c>
    </row>
    <row r="2502" spans="1:9" x14ac:dyDescent="0.15">
      <c r="A2502" s="6">
        <v>2501</v>
      </c>
      <c r="B2502" s="7" t="s">
        <v>9</v>
      </c>
      <c r="C2502" s="8">
        <v>1883</v>
      </c>
      <c r="D2502" s="9">
        <v>45395</v>
      </c>
      <c r="E2502" s="13" t="str">
        <f>+HYPERLINK("http://trademark.i-assist.jp/data/china/image_1883th/76505288.pdf","76505288")</f>
        <v>76505288</v>
      </c>
      <c r="F2502" s="7" t="s">
        <v>6838</v>
      </c>
      <c r="G2502" s="7" t="s">
        <v>6839</v>
      </c>
      <c r="H2502" s="7" t="s">
        <v>6840</v>
      </c>
      <c r="I2502" s="9">
        <v>45310</v>
      </c>
    </row>
    <row r="2503" spans="1:9" x14ac:dyDescent="0.15">
      <c r="A2503" s="6">
        <v>2502</v>
      </c>
      <c r="B2503" s="7" t="s">
        <v>9</v>
      </c>
      <c r="C2503" s="8">
        <v>1883</v>
      </c>
      <c r="D2503" s="9">
        <v>45395</v>
      </c>
      <c r="E2503" s="13" t="str">
        <f>+HYPERLINK("http://trademark.i-assist.jp/data/china/image_1883th/76505569.pdf","76505569")</f>
        <v>76505569</v>
      </c>
      <c r="F2503" s="7" t="s">
        <v>6841</v>
      </c>
      <c r="G2503" s="7" t="s">
        <v>6842</v>
      </c>
      <c r="H2503" s="7" t="s">
        <v>6843</v>
      </c>
      <c r="I2503" s="9">
        <v>45311</v>
      </c>
    </row>
    <row r="2504" spans="1:9" x14ac:dyDescent="0.15">
      <c r="A2504" s="6">
        <v>2503</v>
      </c>
      <c r="B2504" s="7" t="s">
        <v>9</v>
      </c>
      <c r="C2504" s="8">
        <v>1883</v>
      </c>
      <c r="D2504" s="9">
        <v>45395</v>
      </c>
      <c r="E2504" s="13" t="str">
        <f>+HYPERLINK("http://trademark.i-assist.jp/data/china/image_1883th/76505925.pdf","76505925")</f>
        <v>76505925</v>
      </c>
      <c r="F2504" s="7" t="s">
        <v>6844</v>
      </c>
      <c r="G2504" s="7" t="s">
        <v>6845</v>
      </c>
      <c r="H2504" s="7" t="s">
        <v>6846</v>
      </c>
      <c r="I2504" s="9">
        <v>45311</v>
      </c>
    </row>
    <row r="2505" spans="1:9" ht="27" x14ac:dyDescent="0.15">
      <c r="A2505" s="6">
        <v>2504</v>
      </c>
      <c r="B2505" s="7" t="s">
        <v>9</v>
      </c>
      <c r="C2505" s="8">
        <v>1883</v>
      </c>
      <c r="D2505" s="9">
        <v>45395</v>
      </c>
      <c r="E2505" s="13" t="str">
        <f>+HYPERLINK("http://trademark.i-assist.jp/data/china/image_1883th/76505926.pdf","76505926")</f>
        <v>76505926</v>
      </c>
      <c r="F2505" s="7" t="s">
        <v>6847</v>
      </c>
      <c r="G2505" s="7" t="s">
        <v>6627</v>
      </c>
      <c r="H2505" s="7" t="s">
        <v>6848</v>
      </c>
      <c r="I2505" s="9">
        <v>45311</v>
      </c>
    </row>
    <row r="2506" spans="1:9" x14ac:dyDescent="0.15">
      <c r="A2506" s="6">
        <v>2505</v>
      </c>
      <c r="B2506" s="7" t="s">
        <v>9</v>
      </c>
      <c r="C2506" s="8">
        <v>1883</v>
      </c>
      <c r="D2506" s="9">
        <v>45395</v>
      </c>
      <c r="E2506" s="13" t="str">
        <f>+HYPERLINK("http://trademark.i-assist.jp/data/china/image_1883th/76505948.pdf","76505948")</f>
        <v>76505948</v>
      </c>
      <c r="F2506" s="7" t="s">
        <v>6849</v>
      </c>
      <c r="G2506" s="7" t="s">
        <v>6850</v>
      </c>
      <c r="H2506" s="7" t="s">
        <v>6851</v>
      </c>
      <c r="I2506" s="9">
        <v>45311</v>
      </c>
    </row>
    <row r="2507" spans="1:9" ht="27" x14ac:dyDescent="0.15">
      <c r="A2507" s="6">
        <v>2506</v>
      </c>
      <c r="B2507" s="7" t="s">
        <v>9</v>
      </c>
      <c r="C2507" s="8">
        <v>1883</v>
      </c>
      <c r="D2507" s="9">
        <v>45395</v>
      </c>
      <c r="E2507" s="13" t="str">
        <f>+HYPERLINK("http://trademark.i-assist.jp/data/china/image_1883th/76505983.pdf","76505983")</f>
        <v>76505983</v>
      </c>
      <c r="F2507" s="7" t="s">
        <v>6852</v>
      </c>
      <c r="G2507" s="7" t="s">
        <v>6599</v>
      </c>
      <c r="H2507" s="7" t="s">
        <v>6853</v>
      </c>
      <c r="I2507" s="9">
        <v>45311</v>
      </c>
    </row>
    <row r="2508" spans="1:9" ht="27" x14ac:dyDescent="0.15">
      <c r="A2508" s="6">
        <v>2507</v>
      </c>
      <c r="B2508" s="7" t="s">
        <v>9</v>
      </c>
      <c r="C2508" s="8">
        <v>1883</v>
      </c>
      <c r="D2508" s="9">
        <v>45395</v>
      </c>
      <c r="E2508" s="13" t="str">
        <f>+HYPERLINK("http://trademark.i-assist.jp/data/china/image_1883th/76506450.pdf","76506450")</f>
        <v>76506450</v>
      </c>
      <c r="F2508" s="7" t="s">
        <v>6854</v>
      </c>
      <c r="G2508" s="7" t="s">
        <v>6855</v>
      </c>
      <c r="H2508" s="7" t="s">
        <v>6856</v>
      </c>
      <c r="I2508" s="9">
        <v>45310</v>
      </c>
    </row>
    <row r="2509" spans="1:9" x14ac:dyDescent="0.15">
      <c r="A2509" s="6">
        <v>2508</v>
      </c>
      <c r="B2509" s="7" t="s">
        <v>9</v>
      </c>
      <c r="C2509" s="8">
        <v>1883</v>
      </c>
      <c r="D2509" s="9">
        <v>45395</v>
      </c>
      <c r="E2509" s="13" t="str">
        <f>+HYPERLINK("http://trademark.i-assist.jp/data/china/image_1883th/76506480.pdf","76506480")</f>
        <v>76506480</v>
      </c>
      <c r="F2509" s="7" t="s">
        <v>6857</v>
      </c>
      <c r="G2509" s="7" t="s">
        <v>6858</v>
      </c>
      <c r="H2509" s="7" t="s">
        <v>6859</v>
      </c>
      <c r="I2509" s="9">
        <v>45311</v>
      </c>
    </row>
    <row r="2510" spans="1:9" ht="27" x14ac:dyDescent="0.15">
      <c r="A2510" s="6">
        <v>2509</v>
      </c>
      <c r="B2510" s="7" t="s">
        <v>9</v>
      </c>
      <c r="C2510" s="8">
        <v>1883</v>
      </c>
      <c r="D2510" s="9">
        <v>45395</v>
      </c>
      <c r="E2510" s="13" t="str">
        <f>+HYPERLINK("http://trademark.i-assist.jp/data/china/image_1883th/76506637.pdf","76506637")</f>
        <v>76506637</v>
      </c>
      <c r="F2510" s="7" t="s">
        <v>6860</v>
      </c>
      <c r="G2510" s="7" t="s">
        <v>6861</v>
      </c>
      <c r="H2510" s="7" t="s">
        <v>6862</v>
      </c>
      <c r="I2510" s="9">
        <v>45309</v>
      </c>
    </row>
    <row r="2511" spans="1:9" x14ac:dyDescent="0.15">
      <c r="A2511" s="6">
        <v>2510</v>
      </c>
      <c r="B2511" s="7" t="s">
        <v>9</v>
      </c>
      <c r="C2511" s="8">
        <v>1883</v>
      </c>
      <c r="D2511" s="9">
        <v>45395</v>
      </c>
      <c r="E2511" s="13" t="str">
        <f>+HYPERLINK("http://trademark.i-assist.jp/data/china/image_1883th/76506697.pdf","76506697")</f>
        <v>76506697</v>
      </c>
      <c r="F2511" s="7" t="s">
        <v>6863</v>
      </c>
      <c r="G2511" s="7" t="s">
        <v>6864</v>
      </c>
      <c r="H2511" s="7" t="s">
        <v>6865</v>
      </c>
      <c r="I2511" s="9">
        <v>45309</v>
      </c>
    </row>
    <row r="2512" spans="1:9" ht="27" x14ac:dyDescent="0.15">
      <c r="A2512" s="6">
        <v>2511</v>
      </c>
      <c r="B2512" s="7" t="s">
        <v>9</v>
      </c>
      <c r="C2512" s="8">
        <v>1883</v>
      </c>
      <c r="D2512" s="9">
        <v>45395</v>
      </c>
      <c r="E2512" s="13" t="str">
        <f>+HYPERLINK("http://trademark.i-assist.jp/data/china/image_1883th/76506703.pdf","76506703")</f>
        <v>76506703</v>
      </c>
      <c r="F2512" s="7" t="s">
        <v>6866</v>
      </c>
      <c r="G2512" s="7" t="s">
        <v>6867</v>
      </c>
      <c r="H2512" s="7" t="s">
        <v>6868</v>
      </c>
      <c r="I2512" s="9">
        <v>45309</v>
      </c>
    </row>
    <row r="2513" spans="1:9" x14ac:dyDescent="0.15">
      <c r="A2513" s="6">
        <v>2512</v>
      </c>
      <c r="B2513" s="7" t="s">
        <v>9</v>
      </c>
      <c r="C2513" s="8">
        <v>1883</v>
      </c>
      <c r="D2513" s="9">
        <v>45395</v>
      </c>
      <c r="E2513" s="13" t="str">
        <f>+HYPERLINK("http://trademark.i-assist.jp/data/china/image_1883th/76506980.pdf","76506980")</f>
        <v>76506980</v>
      </c>
      <c r="F2513" s="7" t="s">
        <v>6869</v>
      </c>
      <c r="G2513" s="7" t="s">
        <v>6870</v>
      </c>
      <c r="H2513" s="7" t="s">
        <v>6871</v>
      </c>
      <c r="I2513" s="9">
        <v>45310</v>
      </c>
    </row>
    <row r="2514" spans="1:9" x14ac:dyDescent="0.15">
      <c r="A2514" s="6">
        <v>2513</v>
      </c>
      <c r="B2514" s="7" t="s">
        <v>9</v>
      </c>
      <c r="C2514" s="8">
        <v>1883</v>
      </c>
      <c r="D2514" s="9">
        <v>45395</v>
      </c>
      <c r="E2514" s="13" t="str">
        <f>+HYPERLINK("http://trademark.i-assist.jp/data/china/image_1883th/76507033.pdf","76507033")</f>
        <v>76507033</v>
      </c>
      <c r="F2514" s="7" t="s">
        <v>6872</v>
      </c>
      <c r="G2514" s="7" t="s">
        <v>6873</v>
      </c>
      <c r="H2514" s="7" t="s">
        <v>6874</v>
      </c>
      <c r="I2514" s="9">
        <v>45310</v>
      </c>
    </row>
    <row r="2515" spans="1:9" x14ac:dyDescent="0.15">
      <c r="A2515" s="6">
        <v>2514</v>
      </c>
      <c r="B2515" s="7" t="s">
        <v>9</v>
      </c>
      <c r="C2515" s="8">
        <v>1883</v>
      </c>
      <c r="D2515" s="9">
        <v>45395</v>
      </c>
      <c r="E2515" s="13" t="str">
        <f>+HYPERLINK("http://trademark.i-assist.jp/data/china/image_1883th/76507209.pdf","76507209")</f>
        <v>76507209</v>
      </c>
      <c r="F2515" s="7" t="s">
        <v>6875</v>
      </c>
      <c r="G2515" s="7" t="s">
        <v>6536</v>
      </c>
      <c r="H2515" s="7" t="s">
        <v>6876</v>
      </c>
      <c r="I2515" s="9">
        <v>45310</v>
      </c>
    </row>
    <row r="2516" spans="1:9" x14ac:dyDescent="0.15">
      <c r="A2516" s="6">
        <v>2515</v>
      </c>
      <c r="B2516" s="7" t="s">
        <v>9</v>
      </c>
      <c r="C2516" s="8">
        <v>1883</v>
      </c>
      <c r="D2516" s="9">
        <v>45395</v>
      </c>
      <c r="E2516" s="13" t="str">
        <f>+HYPERLINK("http://trademark.i-assist.jp/data/china/image_1883th/76507245.pdf","76507245")</f>
        <v>76507245</v>
      </c>
      <c r="F2516" s="7" t="s">
        <v>6877</v>
      </c>
      <c r="G2516" s="7" t="s">
        <v>6878</v>
      </c>
      <c r="H2516" s="7" t="s">
        <v>6879</v>
      </c>
      <c r="I2516" s="9">
        <v>45310</v>
      </c>
    </row>
    <row r="2517" spans="1:9" x14ac:dyDescent="0.15">
      <c r="A2517" s="6">
        <v>2516</v>
      </c>
      <c r="B2517" s="7" t="s">
        <v>9</v>
      </c>
      <c r="C2517" s="8">
        <v>1883</v>
      </c>
      <c r="D2517" s="9">
        <v>45395</v>
      </c>
      <c r="E2517" s="13" t="str">
        <f>+HYPERLINK("http://trademark.i-assist.jp/data/china/image_1883th/76507306.pdf","76507306")</f>
        <v>76507306</v>
      </c>
      <c r="F2517" s="7" t="s">
        <v>6880</v>
      </c>
      <c r="G2517" s="7" t="s">
        <v>6881</v>
      </c>
      <c r="H2517" s="7" t="s">
        <v>6882</v>
      </c>
      <c r="I2517" s="9">
        <v>45310</v>
      </c>
    </row>
    <row r="2518" spans="1:9" x14ac:dyDescent="0.15">
      <c r="A2518" s="6">
        <v>2517</v>
      </c>
      <c r="B2518" s="7" t="s">
        <v>9</v>
      </c>
      <c r="C2518" s="8">
        <v>1883</v>
      </c>
      <c r="D2518" s="9">
        <v>45395</v>
      </c>
      <c r="E2518" s="13" t="str">
        <f>+HYPERLINK("http://trademark.i-assist.jp/data/china/image_1883th/76507409.pdf","76507409")</f>
        <v>76507409</v>
      </c>
      <c r="F2518" s="7" t="s">
        <v>6883</v>
      </c>
      <c r="G2518" s="7" t="s">
        <v>6884</v>
      </c>
      <c r="H2518" s="7" t="s">
        <v>6885</v>
      </c>
      <c r="I2518" s="9">
        <v>45310</v>
      </c>
    </row>
    <row r="2519" spans="1:9" x14ac:dyDescent="0.15">
      <c r="A2519" s="6">
        <v>2518</v>
      </c>
      <c r="B2519" s="7" t="s">
        <v>9</v>
      </c>
      <c r="C2519" s="8">
        <v>1883</v>
      </c>
      <c r="D2519" s="9">
        <v>45395</v>
      </c>
      <c r="E2519" s="13" t="str">
        <f>+HYPERLINK("http://trademark.i-assist.jp/data/china/image_1883th/76507449.pdf","76507449")</f>
        <v>76507449</v>
      </c>
      <c r="F2519" s="7" t="s">
        <v>6886</v>
      </c>
      <c r="G2519" s="7" t="s">
        <v>3376</v>
      </c>
      <c r="H2519" s="7" t="s">
        <v>6887</v>
      </c>
      <c r="I2519" s="9">
        <v>45310</v>
      </c>
    </row>
    <row r="2520" spans="1:9" x14ac:dyDescent="0.15">
      <c r="A2520" s="6">
        <v>2519</v>
      </c>
      <c r="B2520" s="7" t="s">
        <v>9</v>
      </c>
      <c r="C2520" s="8">
        <v>1883</v>
      </c>
      <c r="D2520" s="9">
        <v>45395</v>
      </c>
      <c r="E2520" s="13" t="str">
        <f>+HYPERLINK("http://trademark.i-assist.jp/data/china/image_1883th/76507678.pdf","76507678")</f>
        <v>76507678</v>
      </c>
      <c r="F2520" s="7" t="s">
        <v>6888</v>
      </c>
      <c r="G2520" s="7" t="s">
        <v>6889</v>
      </c>
      <c r="H2520" s="7" t="s">
        <v>6890</v>
      </c>
      <c r="I2520" s="9">
        <v>45310</v>
      </c>
    </row>
    <row r="2521" spans="1:9" x14ac:dyDescent="0.15">
      <c r="A2521" s="6">
        <v>2520</v>
      </c>
      <c r="B2521" s="7" t="s">
        <v>9</v>
      </c>
      <c r="C2521" s="8">
        <v>1883</v>
      </c>
      <c r="D2521" s="9">
        <v>45395</v>
      </c>
      <c r="E2521" s="13" t="str">
        <f>+HYPERLINK("http://trademark.i-assist.jp/data/china/image_1883th/76507700.pdf","76507700")</f>
        <v>76507700</v>
      </c>
      <c r="F2521" s="7" t="s">
        <v>6891</v>
      </c>
      <c r="G2521" s="7" t="s">
        <v>6892</v>
      </c>
      <c r="H2521" s="7" t="s">
        <v>6893</v>
      </c>
      <c r="I2521" s="9">
        <v>45310</v>
      </c>
    </row>
    <row r="2522" spans="1:9" x14ac:dyDescent="0.15">
      <c r="A2522" s="6">
        <v>2521</v>
      </c>
      <c r="B2522" s="7" t="s">
        <v>9</v>
      </c>
      <c r="C2522" s="8">
        <v>1883</v>
      </c>
      <c r="D2522" s="9">
        <v>45395</v>
      </c>
      <c r="E2522" s="13" t="str">
        <f>+HYPERLINK("http://trademark.i-assist.jp/data/china/image_1883th/76507762.pdf","76507762")</f>
        <v>76507762</v>
      </c>
      <c r="F2522" s="7" t="s">
        <v>6894</v>
      </c>
      <c r="G2522" s="7" t="s">
        <v>6895</v>
      </c>
      <c r="H2522" s="7" t="s">
        <v>6896</v>
      </c>
      <c r="I2522" s="9">
        <v>45310</v>
      </c>
    </row>
    <row r="2523" spans="1:9" x14ac:dyDescent="0.15">
      <c r="A2523" s="6">
        <v>2522</v>
      </c>
      <c r="B2523" s="7" t="s">
        <v>9</v>
      </c>
      <c r="C2523" s="8">
        <v>1883</v>
      </c>
      <c r="D2523" s="9">
        <v>45395</v>
      </c>
      <c r="E2523" s="13" t="str">
        <f>+HYPERLINK("http://trademark.i-assist.jp/data/china/image_1883th/76507769.pdf","76507769")</f>
        <v>76507769</v>
      </c>
      <c r="F2523" s="7" t="s">
        <v>6897</v>
      </c>
      <c r="G2523" s="7" t="s">
        <v>3786</v>
      </c>
      <c r="H2523" s="7" t="s">
        <v>6829</v>
      </c>
      <c r="I2523" s="9">
        <v>45310</v>
      </c>
    </row>
    <row r="2524" spans="1:9" x14ac:dyDescent="0.15">
      <c r="A2524" s="6">
        <v>2523</v>
      </c>
      <c r="B2524" s="7" t="s">
        <v>9</v>
      </c>
      <c r="C2524" s="8">
        <v>1883</v>
      </c>
      <c r="D2524" s="9">
        <v>45395</v>
      </c>
      <c r="E2524" s="13" t="str">
        <f>+HYPERLINK("http://trademark.i-assist.jp/data/china/image_1883th/76507804.pdf","76507804")</f>
        <v>76507804</v>
      </c>
      <c r="F2524" s="7" t="s">
        <v>6898</v>
      </c>
      <c r="G2524" s="7" t="s">
        <v>6461</v>
      </c>
      <c r="H2524" s="7" t="s">
        <v>6899</v>
      </c>
      <c r="I2524" s="9">
        <v>45310</v>
      </c>
    </row>
    <row r="2525" spans="1:9" x14ac:dyDescent="0.15">
      <c r="A2525" s="6">
        <v>2524</v>
      </c>
      <c r="B2525" s="7" t="s">
        <v>9</v>
      </c>
      <c r="C2525" s="8">
        <v>1883</v>
      </c>
      <c r="D2525" s="9">
        <v>45395</v>
      </c>
      <c r="E2525" s="13" t="str">
        <f>+HYPERLINK("http://trademark.i-assist.jp/data/china/image_1883th/76507940.pdf","76507940")</f>
        <v>76507940</v>
      </c>
      <c r="F2525" s="7" t="s">
        <v>6900</v>
      </c>
      <c r="G2525" s="7" t="s">
        <v>6901</v>
      </c>
      <c r="H2525" s="7" t="s">
        <v>6829</v>
      </c>
      <c r="I2525" s="9">
        <v>45310</v>
      </c>
    </row>
    <row r="2526" spans="1:9" x14ac:dyDescent="0.15">
      <c r="A2526" s="6">
        <v>2525</v>
      </c>
      <c r="B2526" s="7" t="s">
        <v>9</v>
      </c>
      <c r="C2526" s="8">
        <v>1883</v>
      </c>
      <c r="D2526" s="9">
        <v>45395</v>
      </c>
      <c r="E2526" s="13" t="str">
        <f>+HYPERLINK("http://trademark.i-assist.jp/data/china/image_1883th/76508270.pdf","76508270")</f>
        <v>76508270</v>
      </c>
      <c r="F2526" s="7" t="s">
        <v>6902</v>
      </c>
      <c r="G2526" s="7" t="s">
        <v>6903</v>
      </c>
      <c r="H2526" s="7" t="s">
        <v>10</v>
      </c>
      <c r="I2526" s="9">
        <v>45310</v>
      </c>
    </row>
    <row r="2527" spans="1:9" x14ac:dyDescent="0.15">
      <c r="A2527" s="6">
        <v>2526</v>
      </c>
      <c r="B2527" s="7" t="s">
        <v>9</v>
      </c>
      <c r="C2527" s="8">
        <v>1883</v>
      </c>
      <c r="D2527" s="9">
        <v>45395</v>
      </c>
      <c r="E2527" s="13" t="str">
        <f>+HYPERLINK("http://trademark.i-assist.jp/data/china/image_1883th/76508304.pdf","76508304")</f>
        <v>76508304</v>
      </c>
      <c r="F2527" s="7" t="s">
        <v>6904</v>
      </c>
      <c r="G2527" s="7" t="s">
        <v>6184</v>
      </c>
      <c r="H2527" s="7" t="s">
        <v>6905</v>
      </c>
      <c r="I2527" s="9">
        <v>45310</v>
      </c>
    </row>
    <row r="2528" spans="1:9" x14ac:dyDescent="0.15">
      <c r="A2528" s="6">
        <v>2527</v>
      </c>
      <c r="B2528" s="7" t="s">
        <v>9</v>
      </c>
      <c r="C2528" s="8">
        <v>1883</v>
      </c>
      <c r="D2528" s="9">
        <v>45395</v>
      </c>
      <c r="E2528" s="13" t="str">
        <f>+HYPERLINK("http://trademark.i-assist.jp/data/china/image_1883th/76508316.pdf","76508316")</f>
        <v>76508316</v>
      </c>
      <c r="F2528" s="7" t="s">
        <v>6906</v>
      </c>
      <c r="G2528" s="7" t="s">
        <v>6184</v>
      </c>
      <c r="H2528" s="7" t="s">
        <v>6907</v>
      </c>
      <c r="I2528" s="9">
        <v>45310</v>
      </c>
    </row>
    <row r="2529" spans="1:9" ht="27" x14ac:dyDescent="0.15">
      <c r="A2529" s="6">
        <v>2528</v>
      </c>
      <c r="B2529" s="7" t="s">
        <v>9</v>
      </c>
      <c r="C2529" s="8">
        <v>1883</v>
      </c>
      <c r="D2529" s="9">
        <v>45395</v>
      </c>
      <c r="E2529" s="13" t="str">
        <f>+HYPERLINK("http://trademark.i-assist.jp/data/china/image_1883th/76508328.pdf","76508328")</f>
        <v>76508328</v>
      </c>
      <c r="F2529" s="7" t="s">
        <v>57</v>
      </c>
      <c r="G2529" s="7" t="s">
        <v>6229</v>
      </c>
      <c r="H2529" s="7" t="s">
        <v>6908</v>
      </c>
      <c r="I2529" s="9">
        <v>45310</v>
      </c>
    </row>
    <row r="2530" spans="1:9" x14ac:dyDescent="0.15">
      <c r="A2530" s="6">
        <v>2529</v>
      </c>
      <c r="B2530" s="7" t="s">
        <v>9</v>
      </c>
      <c r="C2530" s="8">
        <v>1883</v>
      </c>
      <c r="D2530" s="9">
        <v>45395</v>
      </c>
      <c r="E2530" s="13" t="str">
        <f>+HYPERLINK("http://trademark.i-assist.jp/data/china/image_1883th/76508408.pdf","76508408")</f>
        <v>76508408</v>
      </c>
      <c r="F2530" s="7" t="s">
        <v>6909</v>
      </c>
      <c r="G2530" s="7" t="s">
        <v>6910</v>
      </c>
      <c r="H2530" s="7" t="s">
        <v>6911</v>
      </c>
      <c r="I2530" s="9">
        <v>45310</v>
      </c>
    </row>
    <row r="2531" spans="1:9" x14ac:dyDescent="0.15">
      <c r="A2531" s="6">
        <v>2530</v>
      </c>
      <c r="B2531" s="7" t="s">
        <v>9</v>
      </c>
      <c r="C2531" s="8">
        <v>1883</v>
      </c>
      <c r="D2531" s="9">
        <v>45395</v>
      </c>
      <c r="E2531" s="13" t="str">
        <f>+HYPERLINK("http://trademark.i-assist.jp/data/china/image_1883th/76508447.pdf","76508447")</f>
        <v>76508447</v>
      </c>
      <c r="F2531" s="7" t="s">
        <v>6912</v>
      </c>
      <c r="G2531" s="7" t="s">
        <v>6021</v>
      </c>
      <c r="H2531" s="7" t="s">
        <v>6837</v>
      </c>
      <c r="I2531" s="9">
        <v>45310</v>
      </c>
    </row>
    <row r="2532" spans="1:9" x14ac:dyDescent="0.15">
      <c r="A2532" s="6">
        <v>2531</v>
      </c>
      <c r="B2532" s="7" t="s">
        <v>9</v>
      </c>
      <c r="C2532" s="8">
        <v>1883</v>
      </c>
      <c r="D2532" s="9">
        <v>45395</v>
      </c>
      <c r="E2532" s="13" t="str">
        <f>+HYPERLINK("http://trademark.i-assist.jp/data/china/image_1883th/76508458.pdf","76508458")</f>
        <v>76508458</v>
      </c>
      <c r="F2532" s="7" t="s">
        <v>6913</v>
      </c>
      <c r="G2532" s="7" t="s">
        <v>6914</v>
      </c>
      <c r="H2532" s="7" t="s">
        <v>6915</v>
      </c>
      <c r="I2532" s="9">
        <v>45310</v>
      </c>
    </row>
    <row r="2533" spans="1:9" x14ac:dyDescent="0.15">
      <c r="A2533" s="6">
        <v>2532</v>
      </c>
      <c r="B2533" s="7" t="s">
        <v>9</v>
      </c>
      <c r="C2533" s="8">
        <v>1883</v>
      </c>
      <c r="D2533" s="9">
        <v>45395</v>
      </c>
      <c r="E2533" s="13" t="str">
        <f>+HYPERLINK("http://trademark.i-assist.jp/data/china/image_1883th/76508636.pdf","76508636")</f>
        <v>76508636</v>
      </c>
      <c r="F2533" s="7" t="s">
        <v>6916</v>
      </c>
      <c r="G2533" s="7" t="s">
        <v>6917</v>
      </c>
      <c r="H2533" s="7" t="s">
        <v>6918</v>
      </c>
      <c r="I2533" s="9">
        <v>45309</v>
      </c>
    </row>
    <row r="2534" spans="1:9" x14ac:dyDescent="0.15">
      <c r="A2534" s="6">
        <v>2533</v>
      </c>
      <c r="B2534" s="7" t="s">
        <v>9</v>
      </c>
      <c r="C2534" s="8">
        <v>1883</v>
      </c>
      <c r="D2534" s="9">
        <v>45395</v>
      </c>
      <c r="E2534" s="13" t="str">
        <f>+HYPERLINK("http://trademark.i-assist.jp/data/china/image_1883th/76508715.pdf","76508715")</f>
        <v>76508715</v>
      </c>
      <c r="F2534" s="7" t="s">
        <v>6919</v>
      </c>
      <c r="G2534" s="7" t="s">
        <v>6920</v>
      </c>
      <c r="H2534" s="7" t="s">
        <v>6921</v>
      </c>
      <c r="I2534" s="9">
        <v>45309</v>
      </c>
    </row>
    <row r="2535" spans="1:9" x14ac:dyDescent="0.15">
      <c r="A2535" s="6">
        <v>2534</v>
      </c>
      <c r="B2535" s="7" t="s">
        <v>9</v>
      </c>
      <c r="C2535" s="8">
        <v>1883</v>
      </c>
      <c r="D2535" s="9">
        <v>45395</v>
      </c>
      <c r="E2535" s="13" t="str">
        <f>+HYPERLINK("http://trademark.i-assist.jp/data/china/image_1883th/76508897.pdf","76508897")</f>
        <v>76508897</v>
      </c>
      <c r="F2535" s="7" t="s">
        <v>6922</v>
      </c>
      <c r="G2535" s="7" t="s">
        <v>3465</v>
      </c>
      <c r="H2535" s="7" t="s">
        <v>6754</v>
      </c>
      <c r="I2535" s="9">
        <v>45309</v>
      </c>
    </row>
    <row r="2536" spans="1:9" x14ac:dyDescent="0.15">
      <c r="A2536" s="6">
        <v>2535</v>
      </c>
      <c r="B2536" s="7" t="s">
        <v>9</v>
      </c>
      <c r="C2536" s="8">
        <v>1883</v>
      </c>
      <c r="D2536" s="9">
        <v>45395</v>
      </c>
      <c r="E2536" s="13" t="str">
        <f>+HYPERLINK("http://trademark.i-assist.jp/data/china/image_1883th/76508917.pdf","76508917")</f>
        <v>76508917</v>
      </c>
      <c r="F2536" s="7" t="s">
        <v>6923</v>
      </c>
      <c r="G2536" s="7" t="s">
        <v>3543</v>
      </c>
      <c r="H2536" s="7" t="s">
        <v>6754</v>
      </c>
      <c r="I2536" s="9">
        <v>45309</v>
      </c>
    </row>
    <row r="2537" spans="1:9" x14ac:dyDescent="0.15">
      <c r="A2537" s="6">
        <v>2536</v>
      </c>
      <c r="B2537" s="7" t="s">
        <v>9</v>
      </c>
      <c r="C2537" s="8">
        <v>1883</v>
      </c>
      <c r="D2537" s="9">
        <v>45395</v>
      </c>
      <c r="E2537" s="13" t="str">
        <f>+HYPERLINK("http://trademark.i-assist.jp/data/china/image_1883th/76509147.pdf","76509147")</f>
        <v>76509147</v>
      </c>
      <c r="F2537" s="7" t="s">
        <v>6924</v>
      </c>
      <c r="G2537" s="7" t="s">
        <v>5917</v>
      </c>
      <c r="H2537" s="7" t="s">
        <v>6637</v>
      </c>
      <c r="I2537" s="9">
        <v>45309</v>
      </c>
    </row>
    <row r="2538" spans="1:9" x14ac:dyDescent="0.15">
      <c r="A2538" s="6">
        <v>2537</v>
      </c>
      <c r="B2538" s="7" t="s">
        <v>9</v>
      </c>
      <c r="C2538" s="8">
        <v>1883</v>
      </c>
      <c r="D2538" s="9">
        <v>45395</v>
      </c>
      <c r="E2538" s="13" t="str">
        <f>+HYPERLINK("http://trademark.i-assist.jp/data/china/image_1883th/76509324.pdf","76509324")</f>
        <v>76509324</v>
      </c>
      <c r="F2538" s="7" t="s">
        <v>6925</v>
      </c>
      <c r="G2538" s="7" t="s">
        <v>6926</v>
      </c>
      <c r="H2538" s="7" t="s">
        <v>6927</v>
      </c>
      <c r="I2538" s="9">
        <v>45309</v>
      </c>
    </row>
    <row r="2539" spans="1:9" x14ac:dyDescent="0.15">
      <c r="A2539" s="6">
        <v>2538</v>
      </c>
      <c r="B2539" s="7" t="s">
        <v>9</v>
      </c>
      <c r="C2539" s="8">
        <v>1883</v>
      </c>
      <c r="D2539" s="9">
        <v>45395</v>
      </c>
      <c r="E2539" s="13" t="str">
        <f>+HYPERLINK("http://trademark.i-assist.jp/data/china/image_1883th/76509719.pdf","76509719")</f>
        <v>76509719</v>
      </c>
      <c r="F2539" s="7" t="s">
        <v>6928</v>
      </c>
      <c r="G2539" s="7" t="s">
        <v>5980</v>
      </c>
      <c r="H2539" s="7" t="s">
        <v>6929</v>
      </c>
      <c r="I2539" s="9">
        <v>45309</v>
      </c>
    </row>
    <row r="2540" spans="1:9" x14ac:dyDescent="0.15">
      <c r="A2540" s="6">
        <v>2539</v>
      </c>
      <c r="B2540" s="7" t="s">
        <v>9</v>
      </c>
      <c r="C2540" s="8">
        <v>1883</v>
      </c>
      <c r="D2540" s="9">
        <v>45395</v>
      </c>
      <c r="E2540" s="13" t="str">
        <f>+HYPERLINK("http://trademark.i-assist.jp/data/china/image_1883th/76509755.pdf","76509755")</f>
        <v>76509755</v>
      </c>
      <c r="F2540" s="7" t="s">
        <v>57</v>
      </c>
      <c r="G2540" s="7" t="s">
        <v>6930</v>
      </c>
      <c r="H2540" s="7" t="s">
        <v>6931</v>
      </c>
      <c r="I2540" s="9">
        <v>45309</v>
      </c>
    </row>
    <row r="2541" spans="1:9" x14ac:dyDescent="0.15">
      <c r="A2541" s="6">
        <v>2540</v>
      </c>
      <c r="B2541" s="7" t="s">
        <v>9</v>
      </c>
      <c r="C2541" s="8">
        <v>1883</v>
      </c>
      <c r="D2541" s="9">
        <v>45395</v>
      </c>
      <c r="E2541" s="13" t="str">
        <f>+HYPERLINK("http://trademark.i-assist.jp/data/china/image_1883th/76510144.pdf","76510144")</f>
        <v>76510144</v>
      </c>
      <c r="F2541" s="7" t="s">
        <v>6932</v>
      </c>
      <c r="G2541" s="7" t="s">
        <v>6933</v>
      </c>
      <c r="H2541" s="7" t="s">
        <v>6802</v>
      </c>
      <c r="I2541" s="9">
        <v>45310</v>
      </c>
    </row>
    <row r="2542" spans="1:9" x14ac:dyDescent="0.15">
      <c r="A2542" s="6">
        <v>2541</v>
      </c>
      <c r="B2542" s="7" t="s">
        <v>9</v>
      </c>
      <c r="C2542" s="8">
        <v>1883</v>
      </c>
      <c r="D2542" s="9">
        <v>45395</v>
      </c>
      <c r="E2542" s="13" t="str">
        <f>+HYPERLINK("http://trademark.i-assist.jp/data/china/image_1883th/76510169.pdf","76510169")</f>
        <v>76510169</v>
      </c>
      <c r="F2542" s="7" t="s">
        <v>6934</v>
      </c>
      <c r="G2542" s="7" t="s">
        <v>6935</v>
      </c>
      <c r="H2542" s="7" t="s">
        <v>6936</v>
      </c>
      <c r="I2542" s="9">
        <v>45310</v>
      </c>
    </row>
    <row r="2543" spans="1:9" ht="27" x14ac:dyDescent="0.15">
      <c r="A2543" s="6">
        <v>2542</v>
      </c>
      <c r="B2543" s="7" t="s">
        <v>9</v>
      </c>
      <c r="C2543" s="8">
        <v>1883</v>
      </c>
      <c r="D2543" s="9">
        <v>45395</v>
      </c>
      <c r="E2543" s="13" t="str">
        <f>+HYPERLINK("http://trademark.i-assist.jp/data/china/image_1883th/76510193.pdf","76510193")</f>
        <v>76510193</v>
      </c>
      <c r="F2543" s="7" t="s">
        <v>6937</v>
      </c>
      <c r="G2543" s="7" t="s">
        <v>6938</v>
      </c>
      <c r="H2543" s="7" t="s">
        <v>6939</v>
      </c>
      <c r="I2543" s="9">
        <v>45311</v>
      </c>
    </row>
    <row r="2544" spans="1:9" ht="27" x14ac:dyDescent="0.15">
      <c r="A2544" s="6">
        <v>2543</v>
      </c>
      <c r="B2544" s="7" t="s">
        <v>9</v>
      </c>
      <c r="C2544" s="8">
        <v>1883</v>
      </c>
      <c r="D2544" s="9">
        <v>45395</v>
      </c>
      <c r="E2544" s="13" t="str">
        <f>+HYPERLINK("http://trademark.i-assist.jp/data/china/image_1883th/76510206.pdf","76510206")</f>
        <v>76510206</v>
      </c>
      <c r="F2544" s="7" t="s">
        <v>6940</v>
      </c>
      <c r="G2544" s="7" t="s">
        <v>6605</v>
      </c>
      <c r="H2544" s="7" t="s">
        <v>6941</v>
      </c>
      <c r="I2544" s="9">
        <v>45311</v>
      </c>
    </row>
    <row r="2545" spans="1:9" x14ac:dyDescent="0.15">
      <c r="A2545" s="6">
        <v>2544</v>
      </c>
      <c r="B2545" s="7" t="s">
        <v>9</v>
      </c>
      <c r="C2545" s="8">
        <v>1883</v>
      </c>
      <c r="D2545" s="9">
        <v>45395</v>
      </c>
      <c r="E2545" s="13" t="str">
        <f>+HYPERLINK("http://trademark.i-assist.jp/data/china/image_1883th/76510207.pdf","76510207")</f>
        <v>76510207</v>
      </c>
      <c r="F2545" s="7" t="s">
        <v>6942</v>
      </c>
      <c r="G2545" s="7" t="s">
        <v>6943</v>
      </c>
      <c r="H2545" s="7" t="s">
        <v>6944</v>
      </c>
      <c r="I2545" s="9">
        <v>45311</v>
      </c>
    </row>
    <row r="2546" spans="1:9" ht="27" x14ac:dyDescent="0.15">
      <c r="A2546" s="6">
        <v>2545</v>
      </c>
      <c r="B2546" s="7" t="s">
        <v>9</v>
      </c>
      <c r="C2546" s="8">
        <v>1883</v>
      </c>
      <c r="D2546" s="9">
        <v>45395</v>
      </c>
      <c r="E2546" s="13" t="str">
        <f>+HYPERLINK("http://trademark.i-assist.jp/data/china/image_1883th/76510268.pdf","76510268")</f>
        <v>76510268</v>
      </c>
      <c r="F2546" s="7" t="s">
        <v>6945</v>
      </c>
      <c r="G2546" s="7" t="s">
        <v>6946</v>
      </c>
      <c r="H2546" s="7" t="s">
        <v>6853</v>
      </c>
      <c r="I2546" s="9">
        <v>45311</v>
      </c>
    </row>
    <row r="2547" spans="1:9" x14ac:dyDescent="0.15">
      <c r="A2547" s="6">
        <v>2546</v>
      </c>
      <c r="B2547" s="7" t="s">
        <v>9</v>
      </c>
      <c r="C2547" s="8">
        <v>1883</v>
      </c>
      <c r="D2547" s="9">
        <v>45395</v>
      </c>
      <c r="E2547" s="13" t="str">
        <f>+HYPERLINK("http://trademark.i-assist.jp/data/china/image_1883th/76510290.pdf","76510290")</f>
        <v>76510290</v>
      </c>
      <c r="F2547" s="7" t="s">
        <v>6947</v>
      </c>
      <c r="G2547" s="7" t="s">
        <v>6948</v>
      </c>
      <c r="H2547" s="7" t="s">
        <v>6949</v>
      </c>
      <c r="I2547" s="9">
        <v>45311</v>
      </c>
    </row>
    <row r="2548" spans="1:9" x14ac:dyDescent="0.15">
      <c r="A2548" s="6">
        <v>2547</v>
      </c>
      <c r="B2548" s="7" t="s">
        <v>9</v>
      </c>
      <c r="C2548" s="8">
        <v>1883</v>
      </c>
      <c r="D2548" s="9">
        <v>45395</v>
      </c>
      <c r="E2548" s="13" t="str">
        <f>+HYPERLINK("http://trademark.i-assist.jp/data/china/image_1883th/76510303.pdf","76510303")</f>
        <v>76510303</v>
      </c>
      <c r="F2548" s="7" t="s">
        <v>6950</v>
      </c>
      <c r="G2548" s="7" t="s">
        <v>6951</v>
      </c>
      <c r="H2548" s="7" t="s">
        <v>6952</v>
      </c>
      <c r="I2548" s="9">
        <v>45311</v>
      </c>
    </row>
    <row r="2549" spans="1:9" x14ac:dyDescent="0.15">
      <c r="A2549" s="6">
        <v>2548</v>
      </c>
      <c r="B2549" s="7" t="s">
        <v>9</v>
      </c>
      <c r="C2549" s="8">
        <v>1883</v>
      </c>
      <c r="D2549" s="9">
        <v>45395</v>
      </c>
      <c r="E2549" s="13" t="str">
        <f>+HYPERLINK("http://trademark.i-assist.jp/data/china/image_1883th/76510318.pdf","76510318")</f>
        <v>76510318</v>
      </c>
      <c r="F2549" s="7" t="s">
        <v>6953</v>
      </c>
      <c r="G2549" s="7" t="s">
        <v>6954</v>
      </c>
      <c r="H2549" s="7" t="s">
        <v>6955</v>
      </c>
      <c r="I2549" s="9">
        <v>45311</v>
      </c>
    </row>
    <row r="2550" spans="1:9" ht="27" x14ac:dyDescent="0.15">
      <c r="A2550" s="6">
        <v>2549</v>
      </c>
      <c r="B2550" s="7" t="s">
        <v>9</v>
      </c>
      <c r="C2550" s="8">
        <v>1883</v>
      </c>
      <c r="D2550" s="9">
        <v>45395</v>
      </c>
      <c r="E2550" s="13" t="str">
        <f>+HYPERLINK("http://trademark.i-assist.jp/data/china/image_1883th/76510352.pdf","76510352")</f>
        <v>76510352</v>
      </c>
      <c r="F2550" s="7" t="s">
        <v>6956</v>
      </c>
      <c r="G2550" s="7" t="s">
        <v>6957</v>
      </c>
      <c r="H2550" s="7" t="s">
        <v>6853</v>
      </c>
      <c r="I2550" s="9">
        <v>45311</v>
      </c>
    </row>
    <row r="2551" spans="1:9" x14ac:dyDescent="0.15">
      <c r="A2551" s="6">
        <v>2550</v>
      </c>
      <c r="B2551" s="7" t="s">
        <v>9</v>
      </c>
      <c r="C2551" s="8">
        <v>1883</v>
      </c>
      <c r="D2551" s="9">
        <v>45395</v>
      </c>
      <c r="E2551" s="13" t="str">
        <f>+HYPERLINK("http://trademark.i-assist.jp/data/china/image_1883th/76510364.pdf","76510364")</f>
        <v>76510364</v>
      </c>
      <c r="F2551" s="7" t="s">
        <v>6958</v>
      </c>
      <c r="G2551" s="7" t="s">
        <v>4707</v>
      </c>
      <c r="H2551" s="7" t="s">
        <v>6959</v>
      </c>
      <c r="I2551" s="9">
        <v>45311</v>
      </c>
    </row>
    <row r="2552" spans="1:9" ht="27" x14ac:dyDescent="0.15">
      <c r="A2552" s="6">
        <v>2551</v>
      </c>
      <c r="B2552" s="7" t="s">
        <v>9</v>
      </c>
      <c r="C2552" s="8">
        <v>1883</v>
      </c>
      <c r="D2552" s="9">
        <v>45395</v>
      </c>
      <c r="E2552" s="13" t="str">
        <f>+HYPERLINK("http://trademark.i-assist.jp/data/china/image_1883th/76510583.pdf","76510583")</f>
        <v>76510583</v>
      </c>
      <c r="F2552" s="7" t="s">
        <v>6960</v>
      </c>
      <c r="G2552" s="7" t="s">
        <v>6961</v>
      </c>
      <c r="H2552" s="7" t="s">
        <v>6962</v>
      </c>
      <c r="I2552" s="9">
        <v>45311</v>
      </c>
    </row>
    <row r="2553" spans="1:9" ht="27" x14ac:dyDescent="0.15">
      <c r="A2553" s="6">
        <v>2552</v>
      </c>
      <c r="B2553" s="7" t="s">
        <v>9</v>
      </c>
      <c r="C2553" s="8">
        <v>1883</v>
      </c>
      <c r="D2553" s="9">
        <v>45395</v>
      </c>
      <c r="E2553" s="13" t="str">
        <f>+HYPERLINK("http://trademark.i-assist.jp/data/china/image_1883th/76510598.pdf","76510598")</f>
        <v>76510598</v>
      </c>
      <c r="F2553" s="7" t="s">
        <v>6963</v>
      </c>
      <c r="G2553" s="7" t="s">
        <v>6946</v>
      </c>
      <c r="H2553" s="7" t="s">
        <v>6853</v>
      </c>
      <c r="I2553" s="9">
        <v>45311</v>
      </c>
    </row>
    <row r="2554" spans="1:9" x14ac:dyDescent="0.15">
      <c r="A2554" s="6">
        <v>2553</v>
      </c>
      <c r="B2554" s="7" t="s">
        <v>9</v>
      </c>
      <c r="C2554" s="8">
        <v>1883</v>
      </c>
      <c r="D2554" s="9">
        <v>45395</v>
      </c>
      <c r="E2554" s="13" t="str">
        <f>+HYPERLINK("http://trademark.i-assist.jp/data/china/image_1883th/76510619.pdf","76510619")</f>
        <v>76510619</v>
      </c>
      <c r="F2554" s="7" t="s">
        <v>6964</v>
      </c>
      <c r="G2554" s="7" t="s">
        <v>6965</v>
      </c>
      <c r="H2554" s="7" t="s">
        <v>6966</v>
      </c>
      <c r="I2554" s="9">
        <v>45311</v>
      </c>
    </row>
    <row r="2555" spans="1:9" x14ac:dyDescent="0.15">
      <c r="A2555" s="6">
        <v>2554</v>
      </c>
      <c r="B2555" s="7" t="s">
        <v>9</v>
      </c>
      <c r="C2555" s="8">
        <v>1883</v>
      </c>
      <c r="D2555" s="9">
        <v>45395</v>
      </c>
      <c r="E2555" s="13" t="str">
        <f>+HYPERLINK("http://trademark.i-assist.jp/data/china/image_1883th/76510657.pdf","76510657")</f>
        <v>76510657</v>
      </c>
      <c r="F2555" s="7" t="s">
        <v>6967</v>
      </c>
      <c r="G2555" s="7" t="s">
        <v>6968</v>
      </c>
      <c r="H2555" s="7" t="s">
        <v>6969</v>
      </c>
      <c r="I2555" s="9">
        <v>45311</v>
      </c>
    </row>
    <row r="2556" spans="1:9" ht="27" x14ac:dyDescent="0.15">
      <c r="A2556" s="6">
        <v>2555</v>
      </c>
      <c r="B2556" s="7" t="s">
        <v>9</v>
      </c>
      <c r="C2556" s="8">
        <v>1883</v>
      </c>
      <c r="D2556" s="9">
        <v>45395</v>
      </c>
      <c r="E2556" s="13" t="str">
        <f>+HYPERLINK("http://trademark.i-assist.jp/data/china/image_1883th/76510677.pdf","76510677")</f>
        <v>76510677</v>
      </c>
      <c r="F2556" s="7" t="s">
        <v>6970</v>
      </c>
      <c r="G2556" s="7" t="s">
        <v>6627</v>
      </c>
      <c r="H2556" s="7" t="s">
        <v>6853</v>
      </c>
      <c r="I2556" s="9">
        <v>45311</v>
      </c>
    </row>
    <row r="2557" spans="1:9" x14ac:dyDescent="0.15">
      <c r="A2557" s="6">
        <v>2556</v>
      </c>
      <c r="B2557" s="7" t="s">
        <v>9</v>
      </c>
      <c r="C2557" s="8">
        <v>1883</v>
      </c>
      <c r="D2557" s="9">
        <v>45395</v>
      </c>
      <c r="E2557" s="13" t="str">
        <f>+HYPERLINK("http://trademark.i-assist.jp/data/china/image_1883th/76510701.pdf","76510701")</f>
        <v>76510701</v>
      </c>
      <c r="F2557" s="7" t="s">
        <v>6971</v>
      </c>
      <c r="G2557" s="7" t="s">
        <v>6972</v>
      </c>
      <c r="H2557" s="7" t="s">
        <v>6973</v>
      </c>
      <c r="I2557" s="9">
        <v>45311</v>
      </c>
    </row>
    <row r="2558" spans="1:9" ht="27" x14ac:dyDescent="0.15">
      <c r="A2558" s="6">
        <v>2557</v>
      </c>
      <c r="B2558" s="7" t="s">
        <v>9</v>
      </c>
      <c r="C2558" s="8">
        <v>1883</v>
      </c>
      <c r="D2558" s="9">
        <v>45395</v>
      </c>
      <c r="E2558" s="13" t="str">
        <f>+HYPERLINK("http://trademark.i-assist.jp/data/china/image_1883th/76510842.pdf","76510842")</f>
        <v>76510842</v>
      </c>
      <c r="F2558" s="7" t="s">
        <v>6974</v>
      </c>
      <c r="G2558" s="7" t="s">
        <v>6605</v>
      </c>
      <c r="H2558" s="7" t="s">
        <v>6975</v>
      </c>
      <c r="I2558" s="9">
        <v>45311</v>
      </c>
    </row>
    <row r="2559" spans="1:9" ht="27" x14ac:dyDescent="0.15">
      <c r="A2559" s="6">
        <v>2558</v>
      </c>
      <c r="B2559" s="7" t="s">
        <v>9</v>
      </c>
      <c r="C2559" s="8">
        <v>1883</v>
      </c>
      <c r="D2559" s="9">
        <v>45395</v>
      </c>
      <c r="E2559" s="13" t="str">
        <f>+HYPERLINK("http://trademark.i-assist.jp/data/china/image_1883th/76510845.pdf","76510845")</f>
        <v>76510845</v>
      </c>
      <c r="F2559" s="7" t="s">
        <v>6976</v>
      </c>
      <c r="G2559" s="7" t="s">
        <v>6724</v>
      </c>
      <c r="H2559" s="7" t="s">
        <v>6853</v>
      </c>
      <c r="I2559" s="9">
        <v>45311</v>
      </c>
    </row>
    <row r="2560" spans="1:9" x14ac:dyDescent="0.15">
      <c r="A2560" s="6">
        <v>2559</v>
      </c>
      <c r="B2560" s="7" t="s">
        <v>9</v>
      </c>
      <c r="C2560" s="8">
        <v>1883</v>
      </c>
      <c r="D2560" s="9">
        <v>45395</v>
      </c>
      <c r="E2560" s="13" t="str">
        <f>+HYPERLINK("http://trademark.i-assist.jp/data/china/image_1883th/76510953.pdf","76510953")</f>
        <v>76510953</v>
      </c>
      <c r="F2560" s="7" t="s">
        <v>6977</v>
      </c>
      <c r="G2560" s="7" t="s">
        <v>6978</v>
      </c>
      <c r="H2560" s="7" t="s">
        <v>6979</v>
      </c>
      <c r="I2560" s="9">
        <v>45311</v>
      </c>
    </row>
    <row r="2561" spans="1:9" x14ac:dyDescent="0.15">
      <c r="A2561" s="6">
        <v>2560</v>
      </c>
      <c r="B2561" s="7" t="s">
        <v>9</v>
      </c>
      <c r="C2561" s="8">
        <v>1883</v>
      </c>
      <c r="D2561" s="9">
        <v>45395</v>
      </c>
      <c r="E2561" s="13" t="str">
        <f>+HYPERLINK("http://trademark.i-assist.jp/data/china/image_1883th/76510987.pdf","76510987")</f>
        <v>76510987</v>
      </c>
      <c r="F2561" s="7" t="s">
        <v>6980</v>
      </c>
      <c r="G2561" s="7" t="s">
        <v>6591</v>
      </c>
      <c r="H2561" s="7" t="s">
        <v>6981</v>
      </c>
      <c r="I2561" s="9">
        <v>45311</v>
      </c>
    </row>
    <row r="2562" spans="1:9" x14ac:dyDescent="0.15">
      <c r="A2562" s="6">
        <v>2561</v>
      </c>
      <c r="B2562" s="7" t="s">
        <v>9</v>
      </c>
      <c r="C2562" s="8">
        <v>1883</v>
      </c>
      <c r="D2562" s="9">
        <v>45395</v>
      </c>
      <c r="E2562" s="13" t="str">
        <f>+HYPERLINK("http://trademark.i-assist.jp/data/china/image_1883th/76510991.pdf","76510991")</f>
        <v>76510991</v>
      </c>
      <c r="F2562" s="7" t="s">
        <v>6982</v>
      </c>
      <c r="G2562" s="7" t="s">
        <v>6983</v>
      </c>
      <c r="H2562" s="7" t="s">
        <v>6984</v>
      </c>
      <c r="I2562" s="9">
        <v>45311</v>
      </c>
    </row>
    <row r="2563" spans="1:9" x14ac:dyDescent="0.15">
      <c r="A2563" s="6">
        <v>2562</v>
      </c>
      <c r="B2563" s="7" t="s">
        <v>9</v>
      </c>
      <c r="C2563" s="8">
        <v>1883</v>
      </c>
      <c r="D2563" s="9">
        <v>45395</v>
      </c>
      <c r="E2563" s="13" t="str">
        <f>+HYPERLINK("http://trademark.i-assist.jp/data/china/image_1883th/76511031.pdf","76511031")</f>
        <v>76511031</v>
      </c>
      <c r="F2563" s="7" t="s">
        <v>6985</v>
      </c>
      <c r="G2563" s="7" t="s">
        <v>6986</v>
      </c>
      <c r="H2563" s="7" t="s">
        <v>6987</v>
      </c>
      <c r="I2563" s="9">
        <v>45311</v>
      </c>
    </row>
    <row r="2564" spans="1:9" ht="27" x14ac:dyDescent="0.15">
      <c r="A2564" s="6">
        <v>2563</v>
      </c>
      <c r="B2564" s="7" t="s">
        <v>9</v>
      </c>
      <c r="C2564" s="8">
        <v>1883</v>
      </c>
      <c r="D2564" s="9">
        <v>45395</v>
      </c>
      <c r="E2564" s="13" t="str">
        <f>+HYPERLINK("http://trademark.i-assist.jp/data/china/image_1883th/76511032.pdf","76511032")</f>
        <v>76511032</v>
      </c>
      <c r="F2564" s="7" t="s">
        <v>6988</v>
      </c>
      <c r="G2564" s="7" t="s">
        <v>6989</v>
      </c>
      <c r="H2564" s="7" t="s">
        <v>6853</v>
      </c>
      <c r="I2564" s="9">
        <v>45311</v>
      </c>
    </row>
    <row r="2565" spans="1:9" ht="27" x14ac:dyDescent="0.15">
      <c r="A2565" s="6">
        <v>2564</v>
      </c>
      <c r="B2565" s="7" t="s">
        <v>9</v>
      </c>
      <c r="C2565" s="8">
        <v>1883</v>
      </c>
      <c r="D2565" s="9">
        <v>45395</v>
      </c>
      <c r="E2565" s="13" t="str">
        <f>+HYPERLINK("http://trademark.i-assist.jp/data/china/image_1883th/76511192.pdf","76511192")</f>
        <v>76511192</v>
      </c>
      <c r="F2565" s="7" t="s">
        <v>6990</v>
      </c>
      <c r="G2565" s="7" t="s">
        <v>6989</v>
      </c>
      <c r="H2565" s="7" t="s">
        <v>6853</v>
      </c>
      <c r="I2565" s="9">
        <v>45311</v>
      </c>
    </row>
    <row r="2566" spans="1:9" ht="27" x14ac:dyDescent="0.15">
      <c r="A2566" s="6">
        <v>2565</v>
      </c>
      <c r="B2566" s="7" t="s">
        <v>9</v>
      </c>
      <c r="C2566" s="8">
        <v>1883</v>
      </c>
      <c r="D2566" s="9">
        <v>45395</v>
      </c>
      <c r="E2566" s="13" t="str">
        <f>+HYPERLINK("http://trademark.i-assist.jp/data/china/image_1883th/76511199.pdf","76511199")</f>
        <v>76511199</v>
      </c>
      <c r="F2566" s="7" t="s">
        <v>6991</v>
      </c>
      <c r="G2566" s="7" t="s">
        <v>5555</v>
      </c>
      <c r="H2566" s="7" t="s">
        <v>6992</v>
      </c>
      <c r="I2566" s="9">
        <v>45311</v>
      </c>
    </row>
    <row r="2567" spans="1:9" x14ac:dyDescent="0.15">
      <c r="A2567" s="6">
        <v>2566</v>
      </c>
      <c r="B2567" s="7" t="s">
        <v>9</v>
      </c>
      <c r="C2567" s="8">
        <v>1883</v>
      </c>
      <c r="D2567" s="9">
        <v>45395</v>
      </c>
      <c r="E2567" s="13" t="str">
        <f>+HYPERLINK("http://trademark.i-assist.jp/data/china/image_1883th/76511483.pdf","76511483")</f>
        <v>76511483</v>
      </c>
      <c r="F2567" s="7" t="s">
        <v>6993</v>
      </c>
      <c r="G2567" s="7" t="s">
        <v>6994</v>
      </c>
      <c r="H2567" s="7" t="s">
        <v>6995</v>
      </c>
      <c r="I2567" s="9">
        <v>45311</v>
      </c>
    </row>
    <row r="2568" spans="1:9" x14ac:dyDescent="0.15">
      <c r="A2568" s="6">
        <v>2567</v>
      </c>
      <c r="B2568" s="7" t="s">
        <v>9</v>
      </c>
      <c r="C2568" s="8">
        <v>1883</v>
      </c>
      <c r="D2568" s="9">
        <v>45395</v>
      </c>
      <c r="E2568" s="13" t="str">
        <f>+HYPERLINK("http://trademark.i-assist.jp/data/china/image_1883th/76511486.pdf","76511486")</f>
        <v>76511486</v>
      </c>
      <c r="F2568" s="7" t="s">
        <v>6996</v>
      </c>
      <c r="G2568" s="7" t="s">
        <v>6997</v>
      </c>
      <c r="H2568" s="7" t="s">
        <v>6998</v>
      </c>
      <c r="I2568" s="9">
        <v>45311</v>
      </c>
    </row>
    <row r="2569" spans="1:9" x14ac:dyDescent="0.15">
      <c r="A2569" s="6">
        <v>2568</v>
      </c>
      <c r="B2569" s="7" t="s">
        <v>9</v>
      </c>
      <c r="C2569" s="8">
        <v>1883</v>
      </c>
      <c r="D2569" s="9">
        <v>45395</v>
      </c>
      <c r="E2569" s="13" t="str">
        <f>+HYPERLINK("http://trademark.i-assist.jp/data/china/image_1883th/76511588.pdf","76511588")</f>
        <v>76511588</v>
      </c>
      <c r="F2569" s="7" t="s">
        <v>6999</v>
      </c>
      <c r="G2569" s="7" t="s">
        <v>1855</v>
      </c>
      <c r="H2569" s="7" t="s">
        <v>7000</v>
      </c>
      <c r="I2569" s="9">
        <v>45311</v>
      </c>
    </row>
    <row r="2570" spans="1:9" ht="27" x14ac:dyDescent="0.15">
      <c r="A2570" s="6">
        <v>2569</v>
      </c>
      <c r="B2570" s="7" t="s">
        <v>9</v>
      </c>
      <c r="C2570" s="8">
        <v>1883</v>
      </c>
      <c r="D2570" s="9">
        <v>45395</v>
      </c>
      <c r="E2570" s="13" t="str">
        <f>+HYPERLINK("http://trademark.i-assist.jp/data/china/image_1883th/76511746.pdf","76511746")</f>
        <v>76511746</v>
      </c>
      <c r="F2570" s="7" t="s">
        <v>7001</v>
      </c>
      <c r="G2570" s="7" t="s">
        <v>6724</v>
      </c>
      <c r="H2570" s="7" t="s">
        <v>6853</v>
      </c>
      <c r="I2570" s="9">
        <v>45311</v>
      </c>
    </row>
    <row r="2571" spans="1:9" ht="27" x14ac:dyDescent="0.15">
      <c r="A2571" s="6">
        <v>2570</v>
      </c>
      <c r="B2571" s="7" t="s">
        <v>9</v>
      </c>
      <c r="C2571" s="8">
        <v>1883</v>
      </c>
      <c r="D2571" s="9">
        <v>45395</v>
      </c>
      <c r="E2571" s="13" t="str">
        <f>+HYPERLINK("http://trademark.i-assist.jp/data/china/image_1883th/76511769.pdf","76511769")</f>
        <v>76511769</v>
      </c>
      <c r="F2571" s="7" t="s">
        <v>7002</v>
      </c>
      <c r="G2571" s="7" t="s">
        <v>7003</v>
      </c>
      <c r="H2571" s="7" t="s">
        <v>6853</v>
      </c>
      <c r="I2571" s="9">
        <v>45311</v>
      </c>
    </row>
    <row r="2572" spans="1:9" ht="27" x14ac:dyDescent="0.15">
      <c r="A2572" s="6">
        <v>2571</v>
      </c>
      <c r="B2572" s="7" t="s">
        <v>9</v>
      </c>
      <c r="C2572" s="8">
        <v>1883</v>
      </c>
      <c r="D2572" s="9">
        <v>45395</v>
      </c>
      <c r="E2572" s="13" t="str">
        <f>+HYPERLINK("http://trademark.i-assist.jp/data/china/image_1883th/76511811.pdf","76511811")</f>
        <v>76511811</v>
      </c>
      <c r="F2572" s="7" t="s">
        <v>7004</v>
      </c>
      <c r="G2572" s="7" t="s">
        <v>7003</v>
      </c>
      <c r="H2572" s="7" t="s">
        <v>7005</v>
      </c>
      <c r="I2572" s="9">
        <v>45311</v>
      </c>
    </row>
    <row r="2573" spans="1:9" ht="27" x14ac:dyDescent="0.15">
      <c r="A2573" s="6">
        <v>2572</v>
      </c>
      <c r="B2573" s="7" t="s">
        <v>9</v>
      </c>
      <c r="C2573" s="8">
        <v>1883</v>
      </c>
      <c r="D2573" s="9">
        <v>45395</v>
      </c>
      <c r="E2573" s="13" t="str">
        <f>+HYPERLINK("http://trademark.i-assist.jp/data/china/image_1883th/76511934.pdf","76511934")</f>
        <v>76511934</v>
      </c>
      <c r="F2573" s="7" t="s">
        <v>7006</v>
      </c>
      <c r="G2573" s="7" t="s">
        <v>7007</v>
      </c>
      <c r="H2573" s="7" t="s">
        <v>7008</v>
      </c>
      <c r="I2573" s="9">
        <v>45311</v>
      </c>
    </row>
    <row r="2574" spans="1:9" x14ac:dyDescent="0.15">
      <c r="A2574" s="6">
        <v>2573</v>
      </c>
      <c r="B2574" s="7" t="s">
        <v>9</v>
      </c>
      <c r="C2574" s="8">
        <v>1883</v>
      </c>
      <c r="D2574" s="9">
        <v>45395</v>
      </c>
      <c r="E2574" s="13" t="str">
        <f>+HYPERLINK("http://trademark.i-assist.jp/data/china/image_1883th/76512034.pdf","76512034")</f>
        <v>76512034</v>
      </c>
      <c r="F2574" s="7" t="s">
        <v>7009</v>
      </c>
      <c r="G2574" s="7" t="s">
        <v>7010</v>
      </c>
      <c r="H2574" s="7" t="s">
        <v>7011</v>
      </c>
      <c r="I2574" s="9">
        <v>45311</v>
      </c>
    </row>
    <row r="2575" spans="1:9" x14ac:dyDescent="0.15">
      <c r="A2575" s="6">
        <v>2574</v>
      </c>
      <c r="B2575" s="7" t="s">
        <v>9</v>
      </c>
      <c r="C2575" s="8">
        <v>1883</v>
      </c>
      <c r="D2575" s="9">
        <v>45395</v>
      </c>
      <c r="E2575" s="13" t="str">
        <f>+HYPERLINK("http://trademark.i-assist.jp/data/china/image_1883th/76512082.pdf","76512082")</f>
        <v>76512082</v>
      </c>
      <c r="F2575" s="7" t="s">
        <v>7012</v>
      </c>
      <c r="G2575" s="7" t="s">
        <v>7013</v>
      </c>
      <c r="H2575" s="7" t="s">
        <v>7014</v>
      </c>
      <c r="I2575" s="9">
        <v>45311</v>
      </c>
    </row>
    <row r="2576" spans="1:9" ht="27" x14ac:dyDescent="0.15">
      <c r="A2576" s="6">
        <v>2575</v>
      </c>
      <c r="B2576" s="7" t="s">
        <v>9</v>
      </c>
      <c r="C2576" s="8">
        <v>1883</v>
      </c>
      <c r="D2576" s="9">
        <v>45395</v>
      </c>
      <c r="E2576" s="13" t="str">
        <f>+HYPERLINK("http://trademark.i-assist.jp/data/china/image_1883th/76512128.pdf","76512128")</f>
        <v>76512128</v>
      </c>
      <c r="F2576" s="7" t="s">
        <v>7015</v>
      </c>
      <c r="G2576" s="7" t="s">
        <v>6989</v>
      </c>
      <c r="H2576" s="7" t="s">
        <v>6853</v>
      </c>
      <c r="I2576" s="9">
        <v>45311</v>
      </c>
    </row>
    <row r="2577" spans="1:9" x14ac:dyDescent="0.15">
      <c r="A2577" s="6">
        <v>2576</v>
      </c>
      <c r="B2577" s="7" t="s">
        <v>9</v>
      </c>
      <c r="C2577" s="8">
        <v>1883</v>
      </c>
      <c r="D2577" s="9">
        <v>45395</v>
      </c>
      <c r="E2577" s="13" t="str">
        <f>+HYPERLINK("http://trademark.i-assist.jp/data/china/image_1883th/76512178.pdf","76512178")</f>
        <v>76512178</v>
      </c>
      <c r="F2577" s="7" t="s">
        <v>7016</v>
      </c>
      <c r="G2577" s="7" t="s">
        <v>7017</v>
      </c>
      <c r="H2577" s="7" t="s">
        <v>7018</v>
      </c>
      <c r="I2577" s="9">
        <v>45311</v>
      </c>
    </row>
    <row r="2578" spans="1:9" x14ac:dyDescent="0.15">
      <c r="A2578" s="6">
        <v>2577</v>
      </c>
      <c r="B2578" s="7" t="s">
        <v>9</v>
      </c>
      <c r="C2578" s="8">
        <v>1883</v>
      </c>
      <c r="D2578" s="9">
        <v>45395</v>
      </c>
      <c r="E2578" s="13" t="str">
        <f>+HYPERLINK("http://trademark.i-assist.jp/data/china/image_1883th/76512303.pdf","76512303")</f>
        <v>76512303</v>
      </c>
      <c r="F2578" s="7" t="s">
        <v>7019</v>
      </c>
      <c r="G2578" s="7" t="s">
        <v>7020</v>
      </c>
      <c r="H2578" s="7" t="s">
        <v>7021</v>
      </c>
      <c r="I2578" s="9">
        <v>45309</v>
      </c>
    </row>
    <row r="2579" spans="1:9" x14ac:dyDescent="0.15">
      <c r="A2579" s="6">
        <v>2578</v>
      </c>
      <c r="B2579" s="7" t="s">
        <v>9</v>
      </c>
      <c r="C2579" s="8">
        <v>1883</v>
      </c>
      <c r="D2579" s="9">
        <v>45395</v>
      </c>
      <c r="E2579" s="13" t="str">
        <f>+HYPERLINK("http://trademark.i-assist.jp/data/china/image_1883th/76512342.pdf","76512342")</f>
        <v>76512342</v>
      </c>
      <c r="F2579" s="7" t="s">
        <v>7022</v>
      </c>
      <c r="G2579" s="7" t="s">
        <v>5999</v>
      </c>
      <c r="H2579" s="7" t="s">
        <v>7023</v>
      </c>
      <c r="I2579" s="9">
        <v>45309</v>
      </c>
    </row>
    <row r="2580" spans="1:9" ht="27" x14ac:dyDescent="0.15">
      <c r="A2580" s="6">
        <v>2579</v>
      </c>
      <c r="B2580" s="7" t="s">
        <v>9</v>
      </c>
      <c r="C2580" s="8">
        <v>1883</v>
      </c>
      <c r="D2580" s="9">
        <v>45395</v>
      </c>
      <c r="E2580" s="13" t="str">
        <f>+HYPERLINK("http://trademark.i-assist.jp/data/china/image_1883th/76512354.pdf","76512354")</f>
        <v>76512354</v>
      </c>
      <c r="F2580" s="7" t="s">
        <v>7024</v>
      </c>
      <c r="G2580" s="7" t="s">
        <v>7025</v>
      </c>
      <c r="H2580" s="7" t="s">
        <v>7026</v>
      </c>
      <c r="I2580" s="9">
        <v>45309</v>
      </c>
    </row>
    <row r="2581" spans="1:9" x14ac:dyDescent="0.15">
      <c r="A2581" s="6">
        <v>2580</v>
      </c>
      <c r="B2581" s="7" t="s">
        <v>9</v>
      </c>
      <c r="C2581" s="8">
        <v>1883</v>
      </c>
      <c r="D2581" s="9">
        <v>45395</v>
      </c>
      <c r="E2581" s="13" t="str">
        <f>+HYPERLINK("http://trademark.i-assist.jp/data/china/image_1883th/76512543.pdf","76512543")</f>
        <v>76512543</v>
      </c>
      <c r="F2581" s="7" t="s">
        <v>7027</v>
      </c>
      <c r="G2581" s="7" t="s">
        <v>7028</v>
      </c>
      <c r="H2581" s="7" t="s">
        <v>7029</v>
      </c>
      <c r="I2581" s="9">
        <v>45309</v>
      </c>
    </row>
    <row r="2582" spans="1:9" x14ac:dyDescent="0.15">
      <c r="A2582" s="6">
        <v>2581</v>
      </c>
      <c r="B2582" s="7" t="s">
        <v>9</v>
      </c>
      <c r="C2582" s="8">
        <v>1883</v>
      </c>
      <c r="D2582" s="9">
        <v>45395</v>
      </c>
      <c r="E2582" s="13" t="str">
        <f>+HYPERLINK("http://trademark.i-assist.jp/data/china/image_1883th/76512568.pdf","76512568")</f>
        <v>76512568</v>
      </c>
      <c r="F2582" s="7" t="s">
        <v>7030</v>
      </c>
      <c r="G2582" s="7" t="s">
        <v>5917</v>
      </c>
      <c r="H2582" s="7" t="s">
        <v>7031</v>
      </c>
      <c r="I2582" s="9">
        <v>45309</v>
      </c>
    </row>
    <row r="2583" spans="1:9" x14ac:dyDescent="0.15">
      <c r="A2583" s="6">
        <v>2582</v>
      </c>
      <c r="B2583" s="7" t="s">
        <v>9</v>
      </c>
      <c r="C2583" s="8">
        <v>1883</v>
      </c>
      <c r="D2583" s="9">
        <v>45395</v>
      </c>
      <c r="E2583" s="13" t="str">
        <f>+HYPERLINK("http://trademark.i-assist.jp/data/china/image_1883th/76512715.pdf","76512715")</f>
        <v>76512715</v>
      </c>
      <c r="F2583" s="7" t="s">
        <v>7032</v>
      </c>
      <c r="G2583" s="7" t="s">
        <v>1435</v>
      </c>
      <c r="H2583" s="7" t="s">
        <v>7033</v>
      </c>
      <c r="I2583" s="9">
        <v>45309</v>
      </c>
    </row>
    <row r="2584" spans="1:9" x14ac:dyDescent="0.15">
      <c r="A2584" s="6">
        <v>2583</v>
      </c>
      <c r="B2584" s="7" t="s">
        <v>9</v>
      </c>
      <c r="C2584" s="8">
        <v>1883</v>
      </c>
      <c r="D2584" s="9">
        <v>45395</v>
      </c>
      <c r="E2584" s="13" t="str">
        <f>+HYPERLINK("http://trademark.i-assist.jp/data/china/image_1883th/76512724.pdf","76512724")</f>
        <v>76512724</v>
      </c>
      <c r="F2584" s="7" t="s">
        <v>7034</v>
      </c>
      <c r="G2584" s="7" t="s">
        <v>1435</v>
      </c>
      <c r="H2584" s="7" t="s">
        <v>7035</v>
      </c>
      <c r="I2584" s="9">
        <v>45309</v>
      </c>
    </row>
    <row r="2585" spans="1:9" ht="27" x14ac:dyDescent="0.15">
      <c r="A2585" s="6">
        <v>2584</v>
      </c>
      <c r="B2585" s="7" t="s">
        <v>9</v>
      </c>
      <c r="C2585" s="8">
        <v>1883</v>
      </c>
      <c r="D2585" s="9">
        <v>45395</v>
      </c>
      <c r="E2585" s="13" t="str">
        <f>+HYPERLINK("http://trademark.i-assist.jp/data/china/image_1883th/76512731.pdf","76512731")</f>
        <v>76512731</v>
      </c>
      <c r="F2585" s="7" t="s">
        <v>7036</v>
      </c>
      <c r="G2585" s="7" t="s">
        <v>7025</v>
      </c>
      <c r="H2585" s="7" t="s">
        <v>7037</v>
      </c>
      <c r="I2585" s="9">
        <v>45309</v>
      </c>
    </row>
    <row r="2586" spans="1:9" ht="27" x14ac:dyDescent="0.15">
      <c r="A2586" s="6">
        <v>2585</v>
      </c>
      <c r="B2586" s="7" t="s">
        <v>9</v>
      </c>
      <c r="C2586" s="8">
        <v>1883</v>
      </c>
      <c r="D2586" s="9">
        <v>45395</v>
      </c>
      <c r="E2586" s="13" t="str">
        <f>+HYPERLINK("http://trademark.i-assist.jp/data/china/image_1883th/76512760.pdf","76512760")</f>
        <v>76512760</v>
      </c>
      <c r="F2586" s="7" t="s">
        <v>7038</v>
      </c>
      <c r="G2586" s="7" t="s">
        <v>6605</v>
      </c>
      <c r="H2586" s="7" t="s">
        <v>6992</v>
      </c>
      <c r="I2586" s="9">
        <v>45311</v>
      </c>
    </row>
    <row r="2587" spans="1:9" x14ac:dyDescent="0.15">
      <c r="A2587" s="6">
        <v>2586</v>
      </c>
      <c r="B2587" s="7" t="s">
        <v>9</v>
      </c>
      <c r="C2587" s="8">
        <v>1883</v>
      </c>
      <c r="D2587" s="9">
        <v>45395</v>
      </c>
      <c r="E2587" s="13" t="str">
        <f>+HYPERLINK("http://trademark.i-assist.jp/data/china/image_1883th/76512845.pdf","76512845")</f>
        <v>76512845</v>
      </c>
      <c r="F2587" s="7" t="s">
        <v>7039</v>
      </c>
      <c r="G2587" s="7" t="s">
        <v>7040</v>
      </c>
      <c r="H2587" s="7" t="s">
        <v>7041</v>
      </c>
      <c r="I2587" s="9">
        <v>45311</v>
      </c>
    </row>
    <row r="2588" spans="1:9" ht="27" x14ac:dyDescent="0.15">
      <c r="A2588" s="6">
        <v>2587</v>
      </c>
      <c r="B2588" s="7" t="s">
        <v>9</v>
      </c>
      <c r="C2588" s="8">
        <v>1883</v>
      </c>
      <c r="D2588" s="9">
        <v>45395</v>
      </c>
      <c r="E2588" s="13" t="str">
        <f>+HYPERLINK("http://trademark.i-assist.jp/data/china/image_1883th/76512848.pdf","76512848")</f>
        <v>76512848</v>
      </c>
      <c r="F2588" s="7" t="s">
        <v>7042</v>
      </c>
      <c r="G2588" s="7" t="s">
        <v>6605</v>
      </c>
      <c r="H2588" s="7" t="s">
        <v>7043</v>
      </c>
      <c r="I2588" s="9">
        <v>45311</v>
      </c>
    </row>
    <row r="2589" spans="1:9" ht="27" x14ac:dyDescent="0.15">
      <c r="A2589" s="6">
        <v>2588</v>
      </c>
      <c r="B2589" s="7" t="s">
        <v>9</v>
      </c>
      <c r="C2589" s="8">
        <v>1883</v>
      </c>
      <c r="D2589" s="9">
        <v>45395</v>
      </c>
      <c r="E2589" s="13" t="str">
        <f>+HYPERLINK("http://trademark.i-assist.jp/data/china/image_1883th/76512977.pdf","76512977")</f>
        <v>76512977</v>
      </c>
      <c r="F2589" s="7" t="s">
        <v>7044</v>
      </c>
      <c r="G2589" s="7" t="s">
        <v>6946</v>
      </c>
      <c r="H2589" s="7" t="s">
        <v>7045</v>
      </c>
      <c r="I2589" s="9">
        <v>45311</v>
      </c>
    </row>
    <row r="2590" spans="1:9" ht="27" x14ac:dyDescent="0.15">
      <c r="A2590" s="6">
        <v>2589</v>
      </c>
      <c r="B2590" s="7" t="s">
        <v>9</v>
      </c>
      <c r="C2590" s="8">
        <v>1883</v>
      </c>
      <c r="D2590" s="9">
        <v>45395</v>
      </c>
      <c r="E2590" s="13" t="str">
        <f>+HYPERLINK("http://trademark.i-assist.jp/data/china/image_1883th/76512979.pdf","76512979")</f>
        <v>76512979</v>
      </c>
      <c r="F2590" s="7" t="s">
        <v>7046</v>
      </c>
      <c r="G2590" s="7" t="s">
        <v>7003</v>
      </c>
      <c r="H2590" s="7" t="s">
        <v>6853</v>
      </c>
      <c r="I2590" s="9">
        <v>45311</v>
      </c>
    </row>
    <row r="2591" spans="1:9" x14ac:dyDescent="0.15">
      <c r="A2591" s="6">
        <v>2590</v>
      </c>
      <c r="B2591" s="7" t="s">
        <v>9</v>
      </c>
      <c r="C2591" s="8">
        <v>1883</v>
      </c>
      <c r="D2591" s="9">
        <v>45395</v>
      </c>
      <c r="E2591" s="13" t="str">
        <f>+HYPERLINK("http://trademark.i-assist.jp/data/china/image_1883th/76513003.pdf","76513003")</f>
        <v>76513003</v>
      </c>
      <c r="F2591" s="7" t="s">
        <v>7047</v>
      </c>
      <c r="G2591" s="7" t="s">
        <v>6591</v>
      </c>
      <c r="H2591" s="7" t="s">
        <v>7048</v>
      </c>
      <c r="I2591" s="9">
        <v>45311</v>
      </c>
    </row>
    <row r="2592" spans="1:9" x14ac:dyDescent="0.15">
      <c r="A2592" s="6">
        <v>2591</v>
      </c>
      <c r="B2592" s="7" t="s">
        <v>9</v>
      </c>
      <c r="C2592" s="8">
        <v>1883</v>
      </c>
      <c r="D2592" s="9">
        <v>45395</v>
      </c>
      <c r="E2592" s="13" t="str">
        <f>+HYPERLINK("http://trademark.i-assist.jp/data/china/image_1883th/76513083.pdf","76513083")</f>
        <v>76513083</v>
      </c>
      <c r="F2592" s="7" t="s">
        <v>7049</v>
      </c>
      <c r="G2592" s="7" t="s">
        <v>7050</v>
      </c>
      <c r="H2592" s="7" t="s">
        <v>7051</v>
      </c>
      <c r="I2592" s="9">
        <v>45311</v>
      </c>
    </row>
    <row r="2593" spans="1:9" x14ac:dyDescent="0.15">
      <c r="A2593" s="6">
        <v>2592</v>
      </c>
      <c r="B2593" s="7" t="s">
        <v>9</v>
      </c>
      <c r="C2593" s="8">
        <v>1883</v>
      </c>
      <c r="D2593" s="9">
        <v>45395</v>
      </c>
      <c r="E2593" s="13" t="str">
        <f>+HYPERLINK("http://trademark.i-assist.jp/data/china/image_1883th/76513313.pdf","76513313")</f>
        <v>76513313</v>
      </c>
      <c r="F2593" s="7" t="s">
        <v>7052</v>
      </c>
      <c r="G2593" s="7" t="s">
        <v>7053</v>
      </c>
      <c r="H2593" s="7" t="s">
        <v>7054</v>
      </c>
      <c r="I2593" s="9">
        <v>45311</v>
      </c>
    </row>
    <row r="2594" spans="1:9" x14ac:dyDescent="0.15">
      <c r="A2594" s="6">
        <v>2593</v>
      </c>
      <c r="B2594" s="7" t="s">
        <v>9</v>
      </c>
      <c r="C2594" s="8">
        <v>1883</v>
      </c>
      <c r="D2594" s="9">
        <v>45395</v>
      </c>
      <c r="E2594" s="13" t="str">
        <f>+HYPERLINK("http://trademark.i-assist.jp/data/china/image_1883th/76513454.pdf","76513454")</f>
        <v>76513454</v>
      </c>
      <c r="F2594" s="7" t="s">
        <v>7055</v>
      </c>
      <c r="G2594" s="7" t="s">
        <v>7056</v>
      </c>
      <c r="H2594" s="7" t="s">
        <v>7057</v>
      </c>
      <c r="I2594" s="9">
        <v>45311</v>
      </c>
    </row>
    <row r="2595" spans="1:9" x14ac:dyDescent="0.15">
      <c r="A2595" s="6">
        <v>2594</v>
      </c>
      <c r="B2595" s="7" t="s">
        <v>9</v>
      </c>
      <c r="C2595" s="8">
        <v>1883</v>
      </c>
      <c r="D2595" s="9">
        <v>45395</v>
      </c>
      <c r="E2595" s="13" t="str">
        <f>+HYPERLINK("http://trademark.i-assist.jp/data/china/image_1883th/76513482.pdf","76513482")</f>
        <v>76513482</v>
      </c>
      <c r="F2595" s="7" t="s">
        <v>7058</v>
      </c>
      <c r="G2595" s="7" t="s">
        <v>6715</v>
      </c>
      <c r="H2595" s="7" t="s">
        <v>7059</v>
      </c>
      <c r="I2595" s="9">
        <v>45311</v>
      </c>
    </row>
    <row r="2596" spans="1:9" ht="27" x14ac:dyDescent="0.15">
      <c r="A2596" s="6">
        <v>2595</v>
      </c>
      <c r="B2596" s="7" t="s">
        <v>9</v>
      </c>
      <c r="C2596" s="8">
        <v>1883</v>
      </c>
      <c r="D2596" s="9">
        <v>45395</v>
      </c>
      <c r="E2596" s="13" t="str">
        <f>+HYPERLINK("http://trademark.i-assist.jp/data/china/image_1883th/76513504.pdf","76513504")</f>
        <v>76513504</v>
      </c>
      <c r="F2596" s="7" t="s">
        <v>7060</v>
      </c>
      <c r="G2596" s="7" t="s">
        <v>6946</v>
      </c>
      <c r="H2596" s="7" t="s">
        <v>6853</v>
      </c>
      <c r="I2596" s="9">
        <v>45311</v>
      </c>
    </row>
    <row r="2597" spans="1:9" x14ac:dyDescent="0.15">
      <c r="A2597" s="6">
        <v>2596</v>
      </c>
      <c r="B2597" s="7" t="s">
        <v>9</v>
      </c>
      <c r="C2597" s="8">
        <v>1883</v>
      </c>
      <c r="D2597" s="9">
        <v>45395</v>
      </c>
      <c r="E2597" s="13" t="str">
        <f>+HYPERLINK("http://trademark.i-assist.jp/data/china/image_1883th/76513531.pdf","76513531")</f>
        <v>76513531</v>
      </c>
      <c r="F2597" s="7" t="s">
        <v>7061</v>
      </c>
      <c r="G2597" s="7" t="s">
        <v>7062</v>
      </c>
      <c r="H2597" s="7" t="s">
        <v>7063</v>
      </c>
      <c r="I2597" s="9">
        <v>45311</v>
      </c>
    </row>
    <row r="2598" spans="1:9" ht="27" x14ac:dyDescent="0.15">
      <c r="A2598" s="6">
        <v>2597</v>
      </c>
      <c r="B2598" s="7" t="s">
        <v>9</v>
      </c>
      <c r="C2598" s="8">
        <v>1883</v>
      </c>
      <c r="D2598" s="9">
        <v>45395</v>
      </c>
      <c r="E2598" s="13" t="str">
        <f>+HYPERLINK("http://trademark.i-assist.jp/data/china/image_1883th/76513627.pdf","76513627")</f>
        <v>76513627</v>
      </c>
      <c r="F2598" s="7" t="s">
        <v>7064</v>
      </c>
      <c r="G2598" s="7" t="s">
        <v>7065</v>
      </c>
      <c r="H2598" s="7" t="s">
        <v>7066</v>
      </c>
      <c r="I2598" s="9">
        <v>45311</v>
      </c>
    </row>
    <row r="2599" spans="1:9" ht="27" x14ac:dyDescent="0.15">
      <c r="A2599" s="6">
        <v>2598</v>
      </c>
      <c r="B2599" s="7" t="s">
        <v>9</v>
      </c>
      <c r="C2599" s="8">
        <v>1883</v>
      </c>
      <c r="D2599" s="9">
        <v>45395</v>
      </c>
      <c r="E2599" s="13" t="str">
        <f>+HYPERLINK("http://trademark.i-assist.jp/data/china/image_1883th/76513913.pdf","76513913")</f>
        <v>76513913</v>
      </c>
      <c r="F2599" s="7" t="s">
        <v>7067</v>
      </c>
      <c r="G2599" s="7" t="s">
        <v>7003</v>
      </c>
      <c r="H2599" s="7" t="s">
        <v>6853</v>
      </c>
      <c r="I2599" s="9">
        <v>45311</v>
      </c>
    </row>
    <row r="2600" spans="1:9" ht="27" x14ac:dyDescent="0.15">
      <c r="A2600" s="6">
        <v>2599</v>
      </c>
      <c r="B2600" s="7" t="s">
        <v>9</v>
      </c>
      <c r="C2600" s="8">
        <v>1883</v>
      </c>
      <c r="D2600" s="9">
        <v>45395</v>
      </c>
      <c r="E2600" s="13" t="str">
        <f>+HYPERLINK("http://trademark.i-assist.jp/data/china/image_1883th/76513921.pdf","76513921")</f>
        <v>76513921</v>
      </c>
      <c r="F2600" s="7" t="s">
        <v>7068</v>
      </c>
      <c r="G2600" s="7" t="s">
        <v>6946</v>
      </c>
      <c r="H2600" s="7" t="s">
        <v>6853</v>
      </c>
      <c r="I2600" s="9">
        <v>45311</v>
      </c>
    </row>
    <row r="2601" spans="1:9" x14ac:dyDescent="0.15">
      <c r="A2601" s="6">
        <v>2600</v>
      </c>
      <c r="B2601" s="7" t="s">
        <v>9</v>
      </c>
      <c r="C2601" s="8">
        <v>1883</v>
      </c>
      <c r="D2601" s="9">
        <v>45395</v>
      </c>
      <c r="E2601" s="13" t="str">
        <f>+HYPERLINK("http://trademark.i-assist.jp/data/china/image_1883th/76513923.pdf","76513923")</f>
        <v>76513923</v>
      </c>
      <c r="F2601" s="7" t="s">
        <v>7069</v>
      </c>
      <c r="G2601" s="7" t="s">
        <v>7013</v>
      </c>
      <c r="H2601" s="7" t="s">
        <v>7014</v>
      </c>
      <c r="I2601" s="9">
        <v>45311</v>
      </c>
    </row>
    <row r="2602" spans="1:9" x14ac:dyDescent="0.15">
      <c r="A2602" s="6">
        <v>2601</v>
      </c>
      <c r="B2602" s="7" t="s">
        <v>9</v>
      </c>
      <c r="C2602" s="8">
        <v>1883</v>
      </c>
      <c r="D2602" s="9">
        <v>45395</v>
      </c>
      <c r="E2602" s="13" t="str">
        <f>+HYPERLINK("http://trademark.i-assist.jp/data/china/image_1883th/76513936.pdf","76513936")</f>
        <v>76513936</v>
      </c>
      <c r="F2602" s="7" t="s">
        <v>7070</v>
      </c>
      <c r="G2602" s="7" t="s">
        <v>6965</v>
      </c>
      <c r="H2602" s="7" t="s">
        <v>7071</v>
      </c>
      <c r="I2602" s="9">
        <v>45311</v>
      </c>
    </row>
    <row r="2603" spans="1:9" x14ac:dyDescent="0.15">
      <c r="A2603" s="6">
        <v>2602</v>
      </c>
      <c r="B2603" s="7" t="s">
        <v>9</v>
      </c>
      <c r="C2603" s="8">
        <v>1883</v>
      </c>
      <c r="D2603" s="9">
        <v>45395</v>
      </c>
      <c r="E2603" s="13" t="str">
        <f>+HYPERLINK("http://trademark.i-assist.jp/data/china/image_1883th/76514164.pdf","76514164")</f>
        <v>76514164</v>
      </c>
      <c r="F2603" s="7" t="s">
        <v>7072</v>
      </c>
      <c r="G2603" s="7" t="s">
        <v>7073</v>
      </c>
      <c r="H2603" s="7" t="s">
        <v>7074</v>
      </c>
      <c r="I2603" s="9">
        <v>45311</v>
      </c>
    </row>
    <row r="2604" spans="1:9" ht="27" x14ac:dyDescent="0.15">
      <c r="A2604" s="6">
        <v>2603</v>
      </c>
      <c r="B2604" s="7" t="s">
        <v>9</v>
      </c>
      <c r="C2604" s="8">
        <v>1883</v>
      </c>
      <c r="D2604" s="9">
        <v>45395</v>
      </c>
      <c r="E2604" s="13" t="str">
        <f>+HYPERLINK("http://trademark.i-assist.jp/data/china/image_1883th/76514172.pdf","76514172")</f>
        <v>76514172</v>
      </c>
      <c r="F2604" s="7" t="s">
        <v>7075</v>
      </c>
      <c r="G2604" s="7" t="s">
        <v>6605</v>
      </c>
      <c r="H2604" s="7" t="s">
        <v>6853</v>
      </c>
      <c r="I2604" s="9">
        <v>45311</v>
      </c>
    </row>
    <row r="2605" spans="1:9" x14ac:dyDescent="0.15">
      <c r="A2605" s="6">
        <v>2604</v>
      </c>
      <c r="B2605" s="7" t="s">
        <v>9</v>
      </c>
      <c r="C2605" s="8">
        <v>1883</v>
      </c>
      <c r="D2605" s="9">
        <v>45395</v>
      </c>
      <c r="E2605" s="13" t="str">
        <f>+HYPERLINK("http://trademark.i-assist.jp/data/china/image_1883th/76514304.pdf","76514304")</f>
        <v>76514304</v>
      </c>
      <c r="F2605" s="7" t="s">
        <v>7076</v>
      </c>
      <c r="G2605" s="7" t="s">
        <v>7077</v>
      </c>
      <c r="H2605" s="7" t="s">
        <v>7078</v>
      </c>
      <c r="I2605" s="9">
        <v>45311</v>
      </c>
    </row>
    <row r="2606" spans="1:9" x14ac:dyDescent="0.15">
      <c r="A2606" s="6">
        <v>2605</v>
      </c>
      <c r="B2606" s="7" t="s">
        <v>9</v>
      </c>
      <c r="C2606" s="8">
        <v>1883</v>
      </c>
      <c r="D2606" s="9">
        <v>45395</v>
      </c>
      <c r="E2606" s="13" t="str">
        <f>+HYPERLINK("http://trademark.i-assist.jp/data/china/image_1883th/76514349.pdf","76514349")</f>
        <v>76514349</v>
      </c>
      <c r="F2606" s="7" t="s">
        <v>7079</v>
      </c>
      <c r="G2606" s="7" t="s">
        <v>7080</v>
      </c>
      <c r="H2606" s="7" t="s">
        <v>7081</v>
      </c>
      <c r="I2606" s="9">
        <v>45311</v>
      </c>
    </row>
    <row r="2607" spans="1:9" ht="27" x14ac:dyDescent="0.15">
      <c r="A2607" s="6">
        <v>2606</v>
      </c>
      <c r="B2607" s="7" t="s">
        <v>9</v>
      </c>
      <c r="C2607" s="8">
        <v>1883</v>
      </c>
      <c r="D2607" s="9">
        <v>45395</v>
      </c>
      <c r="E2607" s="13" t="str">
        <f>+HYPERLINK("http://trademark.i-assist.jp/data/china/image_1883th/76514421.pdf","76514421")</f>
        <v>76514421</v>
      </c>
      <c r="F2607" s="7" t="s">
        <v>7082</v>
      </c>
      <c r="G2607" s="7" t="s">
        <v>6724</v>
      </c>
      <c r="H2607" s="7" t="s">
        <v>6853</v>
      </c>
      <c r="I2607" s="9">
        <v>45311</v>
      </c>
    </row>
    <row r="2608" spans="1:9" x14ac:dyDescent="0.15">
      <c r="A2608" s="6">
        <v>2607</v>
      </c>
      <c r="B2608" s="7" t="s">
        <v>9</v>
      </c>
      <c r="C2608" s="8">
        <v>1883</v>
      </c>
      <c r="D2608" s="9">
        <v>45395</v>
      </c>
      <c r="E2608" s="13" t="str">
        <f>+HYPERLINK("http://trademark.i-assist.jp/data/china/image_1883th/76514524.pdf","76514524")</f>
        <v>76514524</v>
      </c>
      <c r="F2608" s="7" t="s">
        <v>7083</v>
      </c>
      <c r="G2608" s="7" t="s">
        <v>7084</v>
      </c>
      <c r="H2608" s="7" t="s">
        <v>7085</v>
      </c>
      <c r="I2608" s="9">
        <v>45311</v>
      </c>
    </row>
    <row r="2609" spans="1:9" x14ac:dyDescent="0.15">
      <c r="A2609" s="6">
        <v>2608</v>
      </c>
      <c r="B2609" s="7" t="s">
        <v>9</v>
      </c>
      <c r="C2609" s="8">
        <v>1883</v>
      </c>
      <c r="D2609" s="9">
        <v>45395</v>
      </c>
      <c r="E2609" s="13" t="str">
        <f>+HYPERLINK("http://trademark.i-assist.jp/data/china/image_1883th/76514673.pdf","76514673")</f>
        <v>76514673</v>
      </c>
      <c r="F2609" s="7" t="s">
        <v>7086</v>
      </c>
      <c r="G2609" s="7" t="s">
        <v>7087</v>
      </c>
      <c r="H2609" s="7" t="s">
        <v>7088</v>
      </c>
      <c r="I2609" s="9">
        <v>45311</v>
      </c>
    </row>
    <row r="2610" spans="1:9" x14ac:dyDescent="0.15">
      <c r="A2610" s="6">
        <v>2609</v>
      </c>
      <c r="B2610" s="7" t="s">
        <v>9</v>
      </c>
      <c r="C2610" s="8">
        <v>1883</v>
      </c>
      <c r="D2610" s="9">
        <v>45395</v>
      </c>
      <c r="E2610" s="13" t="str">
        <f>+HYPERLINK("http://trademark.i-assist.jp/data/china/image_1883th/76514732.pdf","76514732")</f>
        <v>76514732</v>
      </c>
      <c r="F2610" s="7" t="s">
        <v>7089</v>
      </c>
      <c r="G2610" s="7" t="s">
        <v>7090</v>
      </c>
      <c r="H2610" s="7" t="s">
        <v>7091</v>
      </c>
      <c r="I2610" s="9">
        <v>45311</v>
      </c>
    </row>
    <row r="2611" spans="1:9" ht="27" x14ac:dyDescent="0.15">
      <c r="A2611" s="6">
        <v>2610</v>
      </c>
      <c r="B2611" s="7" t="s">
        <v>9</v>
      </c>
      <c r="C2611" s="8">
        <v>1883</v>
      </c>
      <c r="D2611" s="9">
        <v>45395</v>
      </c>
      <c r="E2611" s="13" t="str">
        <f>+HYPERLINK("http://trademark.i-assist.jp/data/china/image_1883th/76514749.pdf","76514749")</f>
        <v>76514749</v>
      </c>
      <c r="F2611" s="7" t="s">
        <v>7092</v>
      </c>
      <c r="G2611" s="7" t="s">
        <v>6724</v>
      </c>
      <c r="H2611" s="7" t="s">
        <v>6853</v>
      </c>
      <c r="I2611" s="9">
        <v>45311</v>
      </c>
    </row>
    <row r="2612" spans="1:9" x14ac:dyDescent="0.15">
      <c r="A2612" s="6">
        <v>2611</v>
      </c>
      <c r="B2612" s="7" t="s">
        <v>9</v>
      </c>
      <c r="C2612" s="8">
        <v>1883</v>
      </c>
      <c r="D2612" s="9">
        <v>45395</v>
      </c>
      <c r="E2612" s="13" t="str">
        <f>+HYPERLINK("http://trademark.i-assist.jp/data/china/image_1883th/76514761.pdf","76514761")</f>
        <v>76514761</v>
      </c>
      <c r="F2612" s="7" t="s">
        <v>7093</v>
      </c>
      <c r="G2612" s="7" t="s">
        <v>7094</v>
      </c>
      <c r="H2612" s="7" t="s">
        <v>7095</v>
      </c>
      <c r="I2612" s="9">
        <v>45311</v>
      </c>
    </row>
    <row r="2613" spans="1:9" ht="27" x14ac:dyDescent="0.15">
      <c r="A2613" s="6">
        <v>2612</v>
      </c>
      <c r="B2613" s="7" t="s">
        <v>9</v>
      </c>
      <c r="C2613" s="8">
        <v>1883</v>
      </c>
      <c r="D2613" s="9">
        <v>45395</v>
      </c>
      <c r="E2613" s="13" t="str">
        <f>+HYPERLINK("http://trademark.i-assist.jp/data/china/image_1883th/76514784.pdf","76514784")</f>
        <v>76514784</v>
      </c>
      <c r="F2613" s="7" t="s">
        <v>7096</v>
      </c>
      <c r="G2613" s="7" t="s">
        <v>6946</v>
      </c>
      <c r="H2613" s="7" t="s">
        <v>6853</v>
      </c>
      <c r="I2613" s="9">
        <v>45311</v>
      </c>
    </row>
    <row r="2614" spans="1:9" ht="27" x14ac:dyDescent="0.15">
      <c r="A2614" s="6">
        <v>2613</v>
      </c>
      <c r="B2614" s="7" t="s">
        <v>9</v>
      </c>
      <c r="C2614" s="8">
        <v>1883</v>
      </c>
      <c r="D2614" s="9">
        <v>45395</v>
      </c>
      <c r="E2614" s="13" t="str">
        <f>+HYPERLINK("http://trademark.i-assist.jp/data/china/image_1883th/76514925.pdf","76514925")</f>
        <v>76514925</v>
      </c>
      <c r="F2614" s="7" t="s">
        <v>7097</v>
      </c>
      <c r="G2614" s="7" t="s">
        <v>6602</v>
      </c>
      <c r="H2614" s="7" t="s">
        <v>7098</v>
      </c>
      <c r="I2614" s="9">
        <v>45311</v>
      </c>
    </row>
    <row r="2615" spans="1:9" ht="27" x14ac:dyDescent="0.15">
      <c r="A2615" s="6">
        <v>2614</v>
      </c>
      <c r="B2615" s="7" t="s">
        <v>9</v>
      </c>
      <c r="C2615" s="8">
        <v>1883</v>
      </c>
      <c r="D2615" s="9">
        <v>45395</v>
      </c>
      <c r="E2615" s="13" t="str">
        <f>+HYPERLINK("http://trademark.i-assist.jp/data/china/image_1883th/76514942.pdf","76514942")</f>
        <v>76514942</v>
      </c>
      <c r="F2615" s="7" t="s">
        <v>7099</v>
      </c>
      <c r="G2615" s="7" t="s">
        <v>6602</v>
      </c>
      <c r="H2615" s="7" t="s">
        <v>6853</v>
      </c>
      <c r="I2615" s="9">
        <v>45311</v>
      </c>
    </row>
    <row r="2616" spans="1:9" ht="27" x14ac:dyDescent="0.15">
      <c r="A2616" s="6">
        <v>2615</v>
      </c>
      <c r="B2616" s="7" t="s">
        <v>9</v>
      </c>
      <c r="C2616" s="8">
        <v>1883</v>
      </c>
      <c r="D2616" s="9">
        <v>45395</v>
      </c>
      <c r="E2616" s="13" t="str">
        <f>+HYPERLINK("http://trademark.i-assist.jp/data/china/image_1883th/76515064.pdf","76515064")</f>
        <v>76515064</v>
      </c>
      <c r="F2616" s="7" t="s">
        <v>7100</v>
      </c>
      <c r="G2616" s="7" t="s">
        <v>7101</v>
      </c>
      <c r="H2616" s="7" t="s">
        <v>7102</v>
      </c>
      <c r="I2616" s="9">
        <v>45311</v>
      </c>
    </row>
    <row r="2617" spans="1:9" x14ac:dyDescent="0.15">
      <c r="A2617" s="6">
        <v>2616</v>
      </c>
      <c r="B2617" s="7" t="s">
        <v>9</v>
      </c>
      <c r="C2617" s="8">
        <v>1883</v>
      </c>
      <c r="D2617" s="9">
        <v>45395</v>
      </c>
      <c r="E2617" s="13" t="str">
        <f>+HYPERLINK("http://trademark.i-assist.jp/data/china/image_1883th/76515333.pdf","76515333")</f>
        <v>76515333</v>
      </c>
      <c r="F2617" s="7" t="s">
        <v>7103</v>
      </c>
      <c r="G2617" s="7" t="s">
        <v>5999</v>
      </c>
      <c r="H2617" s="7" t="s">
        <v>7023</v>
      </c>
      <c r="I2617" s="9">
        <v>45309</v>
      </c>
    </row>
    <row r="2618" spans="1:9" ht="27" x14ac:dyDescent="0.15">
      <c r="A2618" s="6">
        <v>2617</v>
      </c>
      <c r="B2618" s="7" t="s">
        <v>9</v>
      </c>
      <c r="C2618" s="8">
        <v>1883</v>
      </c>
      <c r="D2618" s="9">
        <v>45395</v>
      </c>
      <c r="E2618" s="13" t="str">
        <f>+HYPERLINK("http://trademark.i-assist.jp/data/china/image_1883th/76515430.pdf","76515430")</f>
        <v>76515430</v>
      </c>
      <c r="F2618" s="7" t="s">
        <v>7104</v>
      </c>
      <c r="G2618" s="7" t="s">
        <v>6627</v>
      </c>
      <c r="H2618" s="7" t="s">
        <v>6853</v>
      </c>
      <c r="I2618" s="9">
        <v>45311</v>
      </c>
    </row>
    <row r="2619" spans="1:9" x14ac:dyDescent="0.15">
      <c r="A2619" s="6">
        <v>2618</v>
      </c>
      <c r="B2619" s="7" t="s">
        <v>9</v>
      </c>
      <c r="C2619" s="8">
        <v>1883</v>
      </c>
      <c r="D2619" s="9">
        <v>45395</v>
      </c>
      <c r="E2619" s="13" t="str">
        <f>+HYPERLINK("http://trademark.i-assist.jp/data/china/image_1883th/76515681.pdf","76515681")</f>
        <v>76515681</v>
      </c>
      <c r="F2619" s="7" t="s">
        <v>7105</v>
      </c>
      <c r="G2619" s="7" t="s">
        <v>7106</v>
      </c>
      <c r="H2619" s="7" t="s">
        <v>7107</v>
      </c>
      <c r="I2619" s="9">
        <v>45311</v>
      </c>
    </row>
    <row r="2620" spans="1:9" x14ac:dyDescent="0.15">
      <c r="A2620" s="6">
        <v>2619</v>
      </c>
      <c r="B2620" s="7" t="s">
        <v>9</v>
      </c>
      <c r="C2620" s="8">
        <v>1883</v>
      </c>
      <c r="D2620" s="9">
        <v>45395</v>
      </c>
      <c r="E2620" s="13" t="str">
        <f>+HYPERLINK("http://trademark.i-assist.jp/data/china/image_1883th/76515723.pdf","76515723")</f>
        <v>76515723</v>
      </c>
      <c r="F2620" s="7" t="s">
        <v>7108</v>
      </c>
      <c r="G2620" s="7" t="s">
        <v>6948</v>
      </c>
      <c r="H2620" s="7" t="s">
        <v>6576</v>
      </c>
      <c r="I2620" s="9">
        <v>45311</v>
      </c>
    </row>
    <row r="2621" spans="1:9" x14ac:dyDescent="0.15">
      <c r="A2621" s="6">
        <v>2620</v>
      </c>
      <c r="B2621" s="7" t="s">
        <v>9</v>
      </c>
      <c r="C2621" s="8">
        <v>1883</v>
      </c>
      <c r="D2621" s="9">
        <v>45395</v>
      </c>
      <c r="E2621" s="13" t="str">
        <f>+HYPERLINK("http://trademark.i-assist.jp/data/china/image_1883th/76515944.pdf","76515944")</f>
        <v>76515944</v>
      </c>
      <c r="F2621" s="7" t="s">
        <v>7109</v>
      </c>
      <c r="G2621" s="7" t="s">
        <v>6954</v>
      </c>
      <c r="H2621" s="7" t="s">
        <v>7110</v>
      </c>
      <c r="I2621" s="9">
        <v>45311</v>
      </c>
    </row>
    <row r="2622" spans="1:9" ht="27" x14ac:dyDescent="0.15">
      <c r="A2622" s="6">
        <v>2621</v>
      </c>
      <c r="B2622" s="7" t="s">
        <v>9</v>
      </c>
      <c r="C2622" s="8">
        <v>1883</v>
      </c>
      <c r="D2622" s="9">
        <v>45395</v>
      </c>
      <c r="E2622" s="13" t="str">
        <f>+HYPERLINK("http://trademark.i-assist.jp/data/china/image_1883th/76515952.pdf","76515952")</f>
        <v>76515952</v>
      </c>
      <c r="F2622" s="7" t="s">
        <v>7111</v>
      </c>
      <c r="G2622" s="7" t="s">
        <v>5555</v>
      </c>
      <c r="H2622" s="7" t="s">
        <v>6992</v>
      </c>
      <c r="I2622" s="9">
        <v>45311</v>
      </c>
    </row>
    <row r="2623" spans="1:9" x14ac:dyDescent="0.15">
      <c r="A2623" s="6">
        <v>2622</v>
      </c>
      <c r="B2623" s="7" t="s">
        <v>9</v>
      </c>
      <c r="C2623" s="8">
        <v>1883</v>
      </c>
      <c r="D2623" s="9">
        <v>45395</v>
      </c>
      <c r="E2623" s="13" t="str">
        <f>+HYPERLINK("http://trademark.i-assist.jp/data/china/image_1883th/76515969.pdf","76515969")</f>
        <v>76515969</v>
      </c>
      <c r="F2623" s="7" t="s">
        <v>7112</v>
      </c>
      <c r="G2623" s="7" t="s">
        <v>7113</v>
      </c>
      <c r="H2623" s="7" t="s">
        <v>7114</v>
      </c>
      <c r="I2623" s="9">
        <v>45311</v>
      </c>
    </row>
    <row r="2624" spans="1:9" x14ac:dyDescent="0.15">
      <c r="A2624" s="6">
        <v>2623</v>
      </c>
      <c r="B2624" s="7" t="s">
        <v>9</v>
      </c>
      <c r="C2624" s="8">
        <v>1883</v>
      </c>
      <c r="D2624" s="9">
        <v>45395</v>
      </c>
      <c r="E2624" s="13" t="str">
        <f>+HYPERLINK("http://trademark.i-assist.jp/data/china/image_1883th/76516157.pdf","76516157")</f>
        <v>76516157</v>
      </c>
      <c r="F2624" s="7" t="s">
        <v>7115</v>
      </c>
      <c r="G2624" s="7" t="s">
        <v>6943</v>
      </c>
      <c r="H2624" s="7" t="s">
        <v>7116</v>
      </c>
      <c r="I2624" s="9">
        <v>45311</v>
      </c>
    </row>
    <row r="2625" spans="1:9" x14ac:dyDescent="0.15">
      <c r="A2625" s="6">
        <v>2624</v>
      </c>
      <c r="B2625" s="7" t="s">
        <v>9</v>
      </c>
      <c r="C2625" s="8">
        <v>1883</v>
      </c>
      <c r="D2625" s="9">
        <v>45395</v>
      </c>
      <c r="E2625" s="13" t="str">
        <f>+HYPERLINK("http://trademark.i-assist.jp/data/china/image_1883th/76516211.pdf","76516211")</f>
        <v>76516211</v>
      </c>
      <c r="F2625" s="7" t="s">
        <v>7117</v>
      </c>
      <c r="G2625" s="7" t="s">
        <v>6920</v>
      </c>
      <c r="H2625" s="7" t="s">
        <v>7118</v>
      </c>
      <c r="I2625" s="9">
        <v>45311</v>
      </c>
    </row>
    <row r="2626" spans="1:9" ht="27" x14ac:dyDescent="0.15">
      <c r="A2626" s="6">
        <v>2625</v>
      </c>
      <c r="B2626" s="7" t="s">
        <v>9</v>
      </c>
      <c r="C2626" s="8">
        <v>1883</v>
      </c>
      <c r="D2626" s="9">
        <v>45395</v>
      </c>
      <c r="E2626" s="13" t="str">
        <f>+HYPERLINK("http://trademark.i-assist.jp/data/china/image_1883th/76516389.pdf","76516389")</f>
        <v>76516389</v>
      </c>
      <c r="F2626" s="7" t="s">
        <v>7119</v>
      </c>
      <c r="G2626" s="7" t="s">
        <v>6989</v>
      </c>
      <c r="H2626" s="7" t="s">
        <v>6853</v>
      </c>
      <c r="I2626" s="9">
        <v>45311</v>
      </c>
    </row>
    <row r="2627" spans="1:9" x14ac:dyDescent="0.15">
      <c r="A2627" s="6">
        <v>2626</v>
      </c>
      <c r="B2627" s="7" t="s">
        <v>9</v>
      </c>
      <c r="C2627" s="8">
        <v>1883</v>
      </c>
      <c r="D2627" s="9">
        <v>45395</v>
      </c>
      <c r="E2627" s="13" t="str">
        <f>+HYPERLINK("http://trademark.i-assist.jp/data/china/image_1883th/76516438.pdf","76516438")</f>
        <v>76516438</v>
      </c>
      <c r="F2627" s="7" t="s">
        <v>7120</v>
      </c>
      <c r="G2627" s="7" t="s">
        <v>7121</v>
      </c>
      <c r="H2627" s="7" t="s">
        <v>7122</v>
      </c>
      <c r="I2627" s="9">
        <v>45311</v>
      </c>
    </row>
    <row r="2628" spans="1:9" ht="27" x14ac:dyDescent="0.15">
      <c r="A2628" s="6">
        <v>2627</v>
      </c>
      <c r="B2628" s="7" t="s">
        <v>9</v>
      </c>
      <c r="C2628" s="8">
        <v>1883</v>
      </c>
      <c r="D2628" s="9">
        <v>45395</v>
      </c>
      <c r="E2628" s="13" t="str">
        <f>+HYPERLINK("http://trademark.i-assist.jp/data/china/image_1883th/76516650.pdf","76516650")</f>
        <v>76516650</v>
      </c>
      <c r="F2628" s="7" t="s">
        <v>7123</v>
      </c>
      <c r="G2628" s="7" t="s">
        <v>6605</v>
      </c>
      <c r="H2628" s="7" t="s">
        <v>6853</v>
      </c>
      <c r="I2628" s="9">
        <v>45311</v>
      </c>
    </row>
    <row r="2629" spans="1:9" x14ac:dyDescent="0.15">
      <c r="A2629" s="6">
        <v>2628</v>
      </c>
      <c r="B2629" s="7" t="s">
        <v>9</v>
      </c>
      <c r="C2629" s="8">
        <v>1883</v>
      </c>
      <c r="D2629" s="9">
        <v>45395</v>
      </c>
      <c r="E2629" s="13" t="str">
        <f>+HYPERLINK("http://trademark.i-assist.jp/data/china/image_1883th/76516668.pdf","76516668")</f>
        <v>76516668</v>
      </c>
      <c r="F2629" s="7" t="s">
        <v>7124</v>
      </c>
      <c r="G2629" s="7" t="s">
        <v>7125</v>
      </c>
      <c r="H2629" s="7" t="s">
        <v>7126</v>
      </c>
      <c r="I2629" s="9">
        <v>45311</v>
      </c>
    </row>
    <row r="2630" spans="1:9" ht="27" x14ac:dyDescent="0.15">
      <c r="A2630" s="6">
        <v>2629</v>
      </c>
      <c r="B2630" s="7" t="s">
        <v>9</v>
      </c>
      <c r="C2630" s="8">
        <v>1883</v>
      </c>
      <c r="D2630" s="9">
        <v>45395</v>
      </c>
      <c r="E2630" s="13" t="str">
        <f>+HYPERLINK("http://trademark.i-assist.jp/data/china/image_1883th/76516720.pdf","76516720")</f>
        <v>76516720</v>
      </c>
      <c r="F2630" s="7" t="s">
        <v>7127</v>
      </c>
      <c r="G2630" s="7" t="s">
        <v>6605</v>
      </c>
      <c r="H2630" s="7" t="s">
        <v>7128</v>
      </c>
      <c r="I2630" s="9">
        <v>45311</v>
      </c>
    </row>
    <row r="2631" spans="1:9" ht="27" x14ac:dyDescent="0.15">
      <c r="A2631" s="6">
        <v>2630</v>
      </c>
      <c r="B2631" s="7" t="s">
        <v>9</v>
      </c>
      <c r="C2631" s="8">
        <v>1883</v>
      </c>
      <c r="D2631" s="9">
        <v>45395</v>
      </c>
      <c r="E2631" s="13" t="str">
        <f>+HYPERLINK("http://trademark.i-assist.jp/data/china/image_1883th/76516768.pdf","76516768")</f>
        <v>76516768</v>
      </c>
      <c r="F2631" s="7" t="s">
        <v>7129</v>
      </c>
      <c r="G2631" s="7" t="s">
        <v>6599</v>
      </c>
      <c r="H2631" s="7" t="s">
        <v>6853</v>
      </c>
      <c r="I2631" s="9">
        <v>45311</v>
      </c>
    </row>
    <row r="2632" spans="1:9" x14ac:dyDescent="0.15">
      <c r="A2632" s="6">
        <v>2631</v>
      </c>
      <c r="B2632" s="7" t="s">
        <v>9</v>
      </c>
      <c r="C2632" s="8">
        <v>1883</v>
      </c>
      <c r="D2632" s="9">
        <v>45395</v>
      </c>
      <c r="E2632" s="13" t="str">
        <f>+HYPERLINK("http://trademark.i-assist.jp/data/china/image_1883th/76516891.pdf","76516891")</f>
        <v>76516891</v>
      </c>
      <c r="F2632" s="7" t="s">
        <v>7130</v>
      </c>
      <c r="G2632" s="7" t="s">
        <v>7131</v>
      </c>
      <c r="H2632" s="7" t="s">
        <v>7132</v>
      </c>
      <c r="I2632" s="9">
        <v>45312</v>
      </c>
    </row>
    <row r="2633" spans="1:9" x14ac:dyDescent="0.15">
      <c r="A2633" s="6">
        <v>2632</v>
      </c>
      <c r="B2633" s="7" t="s">
        <v>9</v>
      </c>
      <c r="C2633" s="8">
        <v>1883</v>
      </c>
      <c r="D2633" s="9">
        <v>45395</v>
      </c>
      <c r="E2633" s="13" t="str">
        <f>+HYPERLINK("http://trademark.i-assist.jp/data/china/image_1883th/76516941.pdf","76516941")</f>
        <v>76516941</v>
      </c>
      <c r="F2633" s="7" t="s">
        <v>7133</v>
      </c>
      <c r="G2633" s="7" t="s">
        <v>6127</v>
      </c>
      <c r="H2633" s="7" t="s">
        <v>7134</v>
      </c>
      <c r="I2633" s="9">
        <v>45312</v>
      </c>
    </row>
    <row r="2634" spans="1:9" ht="27" x14ac:dyDescent="0.15">
      <c r="A2634" s="6">
        <v>2633</v>
      </c>
      <c r="B2634" s="7" t="s">
        <v>9</v>
      </c>
      <c r="C2634" s="8">
        <v>1883</v>
      </c>
      <c r="D2634" s="9">
        <v>45395</v>
      </c>
      <c r="E2634" s="13" t="str">
        <f>+HYPERLINK("http://trademark.i-assist.jp/data/china/image_1883th/76517118.pdf","76517118")</f>
        <v>76517118</v>
      </c>
      <c r="F2634" s="7" t="s">
        <v>7135</v>
      </c>
      <c r="G2634" s="7" t="s">
        <v>6946</v>
      </c>
      <c r="H2634" s="7" t="s">
        <v>6853</v>
      </c>
      <c r="I2634" s="9">
        <v>45312</v>
      </c>
    </row>
    <row r="2635" spans="1:9" x14ac:dyDescent="0.15">
      <c r="A2635" s="6">
        <v>2634</v>
      </c>
      <c r="B2635" s="7" t="s">
        <v>9</v>
      </c>
      <c r="C2635" s="8">
        <v>1883</v>
      </c>
      <c r="D2635" s="9">
        <v>45395</v>
      </c>
      <c r="E2635" s="13" t="str">
        <f>+HYPERLINK("http://trademark.i-assist.jp/data/china/image_1883th/76517224.pdf","76517224")</f>
        <v>76517224</v>
      </c>
      <c r="F2635" s="7" t="s">
        <v>7136</v>
      </c>
      <c r="G2635" s="7" t="s">
        <v>7137</v>
      </c>
      <c r="H2635" s="7" t="s">
        <v>7138</v>
      </c>
      <c r="I2635" s="9">
        <v>45312</v>
      </c>
    </row>
    <row r="2636" spans="1:9" x14ac:dyDescent="0.15">
      <c r="A2636" s="6">
        <v>2635</v>
      </c>
      <c r="B2636" s="7" t="s">
        <v>9</v>
      </c>
      <c r="C2636" s="8">
        <v>1883</v>
      </c>
      <c r="D2636" s="9">
        <v>45395</v>
      </c>
      <c r="E2636" s="13" t="str">
        <f>+HYPERLINK("http://trademark.i-assist.jp/data/china/image_1883th/76517296.pdf","76517296")</f>
        <v>76517296</v>
      </c>
      <c r="F2636" s="7" t="s">
        <v>7139</v>
      </c>
      <c r="G2636" s="7" t="s">
        <v>7140</v>
      </c>
      <c r="H2636" s="7" t="s">
        <v>7141</v>
      </c>
      <c r="I2636" s="9">
        <v>45312</v>
      </c>
    </row>
    <row r="2637" spans="1:9" x14ac:dyDescent="0.15">
      <c r="A2637" s="6">
        <v>2636</v>
      </c>
      <c r="B2637" s="7" t="s">
        <v>9</v>
      </c>
      <c r="C2637" s="8">
        <v>1883</v>
      </c>
      <c r="D2637" s="9">
        <v>45395</v>
      </c>
      <c r="E2637" s="13" t="str">
        <f>+HYPERLINK("http://trademark.i-assist.jp/data/china/image_1883th/76517498.pdf","76517498")</f>
        <v>76517498</v>
      </c>
      <c r="F2637" s="7" t="s">
        <v>57</v>
      </c>
      <c r="G2637" s="7" t="s">
        <v>7142</v>
      </c>
      <c r="H2637" s="7" t="s">
        <v>7143</v>
      </c>
      <c r="I2637" s="9">
        <v>45309</v>
      </c>
    </row>
    <row r="2638" spans="1:9" ht="27" x14ac:dyDescent="0.15">
      <c r="A2638" s="6">
        <v>2637</v>
      </c>
      <c r="B2638" s="7" t="s">
        <v>9</v>
      </c>
      <c r="C2638" s="8">
        <v>1883</v>
      </c>
      <c r="D2638" s="9">
        <v>45395</v>
      </c>
      <c r="E2638" s="13" t="str">
        <f>+HYPERLINK("http://trademark.i-assist.jp/data/china/image_1883th/76517499.pdf","76517499")</f>
        <v>76517499</v>
      </c>
      <c r="F2638" s="7" t="s">
        <v>7144</v>
      </c>
      <c r="G2638" s="7" t="s">
        <v>7145</v>
      </c>
      <c r="H2638" s="7" t="s">
        <v>7146</v>
      </c>
      <c r="I2638" s="9">
        <v>45309</v>
      </c>
    </row>
    <row r="2639" spans="1:9" x14ac:dyDescent="0.15">
      <c r="A2639" s="6">
        <v>2638</v>
      </c>
      <c r="B2639" s="7" t="s">
        <v>9</v>
      </c>
      <c r="C2639" s="8">
        <v>1883</v>
      </c>
      <c r="D2639" s="9">
        <v>45395</v>
      </c>
      <c r="E2639" s="13" t="str">
        <f>+HYPERLINK("http://trademark.i-assist.jp/data/china/image_1883th/76517575.pdf","76517575")</f>
        <v>76517575</v>
      </c>
      <c r="F2639" s="7" t="s">
        <v>7147</v>
      </c>
      <c r="G2639" s="7" t="s">
        <v>5920</v>
      </c>
      <c r="H2639" s="7" t="s">
        <v>7148</v>
      </c>
      <c r="I2639" s="9">
        <v>45309</v>
      </c>
    </row>
    <row r="2640" spans="1:9" ht="27" x14ac:dyDescent="0.15">
      <c r="A2640" s="6">
        <v>2639</v>
      </c>
      <c r="B2640" s="7" t="s">
        <v>9</v>
      </c>
      <c r="C2640" s="8">
        <v>1883</v>
      </c>
      <c r="D2640" s="9">
        <v>45395</v>
      </c>
      <c r="E2640" s="13" t="str">
        <f>+HYPERLINK("http://trademark.i-assist.jp/data/china/image_1883th/76517667.pdf","76517667")</f>
        <v>76517667</v>
      </c>
      <c r="F2640" s="7" t="s">
        <v>7149</v>
      </c>
      <c r="G2640" s="7" t="s">
        <v>6957</v>
      </c>
      <c r="H2640" s="7" t="s">
        <v>6853</v>
      </c>
      <c r="I2640" s="9">
        <v>45312</v>
      </c>
    </row>
    <row r="2641" spans="1:9" ht="27" x14ac:dyDescent="0.15">
      <c r="A2641" s="6">
        <v>2640</v>
      </c>
      <c r="B2641" s="7" t="s">
        <v>9</v>
      </c>
      <c r="C2641" s="8">
        <v>1883</v>
      </c>
      <c r="D2641" s="9">
        <v>45395</v>
      </c>
      <c r="E2641" s="13" t="str">
        <f>+HYPERLINK("http://trademark.i-assist.jp/data/china/image_1883th/76517804.pdf","76517804")</f>
        <v>76517804</v>
      </c>
      <c r="F2641" s="7" t="s">
        <v>7150</v>
      </c>
      <c r="G2641" s="7" t="s">
        <v>7151</v>
      </c>
      <c r="H2641" s="7" t="s">
        <v>7152</v>
      </c>
      <c r="I2641" s="9">
        <v>45312</v>
      </c>
    </row>
    <row r="2642" spans="1:9" x14ac:dyDescent="0.15">
      <c r="A2642" s="6">
        <v>2641</v>
      </c>
      <c r="B2642" s="7" t="s">
        <v>9</v>
      </c>
      <c r="C2642" s="8">
        <v>1883</v>
      </c>
      <c r="D2642" s="9">
        <v>45395</v>
      </c>
      <c r="E2642" s="13" t="str">
        <f>+HYPERLINK("http://trademark.i-assist.jp/data/china/image_1883th/76517869.pdf","76517869")</f>
        <v>76517869</v>
      </c>
      <c r="F2642" s="7" t="s">
        <v>7153</v>
      </c>
      <c r="G2642" s="7" t="s">
        <v>7154</v>
      </c>
      <c r="H2642" s="7" t="s">
        <v>7155</v>
      </c>
      <c r="I2642" s="9">
        <v>45312</v>
      </c>
    </row>
    <row r="2643" spans="1:9" ht="27" x14ac:dyDescent="0.15">
      <c r="A2643" s="6">
        <v>2642</v>
      </c>
      <c r="B2643" s="7" t="s">
        <v>9</v>
      </c>
      <c r="C2643" s="8">
        <v>1883</v>
      </c>
      <c r="D2643" s="9">
        <v>45395</v>
      </c>
      <c r="E2643" s="13" t="str">
        <f>+HYPERLINK("http://trademark.i-assist.jp/data/china/image_1883th/76517890.pdf","76517890")</f>
        <v>76517890</v>
      </c>
      <c r="F2643" s="7" t="s">
        <v>7156</v>
      </c>
      <c r="G2643" s="7" t="s">
        <v>1454</v>
      </c>
      <c r="H2643" s="7" t="s">
        <v>7157</v>
      </c>
      <c r="I2643" s="9">
        <v>45312</v>
      </c>
    </row>
    <row r="2644" spans="1:9" x14ac:dyDescent="0.15">
      <c r="A2644" s="6">
        <v>2643</v>
      </c>
      <c r="B2644" s="7" t="s">
        <v>9</v>
      </c>
      <c r="C2644" s="8">
        <v>1883</v>
      </c>
      <c r="D2644" s="9">
        <v>45395</v>
      </c>
      <c r="E2644" s="13" t="str">
        <f>+HYPERLINK("http://trademark.i-assist.jp/data/china/image_1883th/76517924.pdf","76517924")</f>
        <v>76517924</v>
      </c>
      <c r="F2644" s="7" t="s">
        <v>7158</v>
      </c>
      <c r="G2644" s="7" t="s">
        <v>7159</v>
      </c>
      <c r="H2644" s="7" t="s">
        <v>7160</v>
      </c>
      <c r="I2644" s="9">
        <v>45312</v>
      </c>
    </row>
    <row r="2645" spans="1:9" x14ac:dyDescent="0.15">
      <c r="A2645" s="6">
        <v>2644</v>
      </c>
      <c r="B2645" s="7" t="s">
        <v>9</v>
      </c>
      <c r="C2645" s="8">
        <v>1883</v>
      </c>
      <c r="D2645" s="9">
        <v>45395</v>
      </c>
      <c r="E2645" s="13" t="str">
        <f>+HYPERLINK("http://trademark.i-assist.jp/data/china/image_1883th/76517925.pdf","76517925")</f>
        <v>76517925</v>
      </c>
      <c r="F2645" s="7" t="s">
        <v>7161</v>
      </c>
      <c r="G2645" s="7" t="s">
        <v>7159</v>
      </c>
      <c r="H2645" s="7" t="s">
        <v>7162</v>
      </c>
      <c r="I2645" s="9">
        <v>45312</v>
      </c>
    </row>
    <row r="2646" spans="1:9" x14ac:dyDescent="0.15">
      <c r="A2646" s="6">
        <v>2645</v>
      </c>
      <c r="B2646" s="7" t="s">
        <v>9</v>
      </c>
      <c r="C2646" s="8">
        <v>1883</v>
      </c>
      <c r="D2646" s="9">
        <v>45395</v>
      </c>
      <c r="E2646" s="13" t="str">
        <f>+HYPERLINK("http://trademark.i-assist.jp/data/china/image_1883th/76517970.pdf","76517970")</f>
        <v>76517970</v>
      </c>
      <c r="F2646" s="7" t="s">
        <v>7163</v>
      </c>
      <c r="G2646" s="7" t="s">
        <v>7164</v>
      </c>
      <c r="H2646" s="7" t="s">
        <v>7165</v>
      </c>
      <c r="I2646" s="9">
        <v>45312</v>
      </c>
    </row>
    <row r="2647" spans="1:9" ht="27" x14ac:dyDescent="0.15">
      <c r="A2647" s="6">
        <v>2646</v>
      </c>
      <c r="B2647" s="7" t="s">
        <v>9</v>
      </c>
      <c r="C2647" s="8">
        <v>1883</v>
      </c>
      <c r="D2647" s="9">
        <v>45395</v>
      </c>
      <c r="E2647" s="13" t="str">
        <f>+HYPERLINK("http://trademark.i-assist.jp/data/china/image_1883th/76518139.pdf","76518139")</f>
        <v>76518139</v>
      </c>
      <c r="F2647" s="7" t="s">
        <v>7166</v>
      </c>
      <c r="G2647" s="7" t="s">
        <v>7167</v>
      </c>
      <c r="H2647" s="7" t="s">
        <v>7168</v>
      </c>
      <c r="I2647" s="9">
        <v>45312</v>
      </c>
    </row>
    <row r="2648" spans="1:9" x14ac:dyDescent="0.15">
      <c r="A2648" s="6">
        <v>2647</v>
      </c>
      <c r="B2648" s="7" t="s">
        <v>9</v>
      </c>
      <c r="C2648" s="8">
        <v>1883</v>
      </c>
      <c r="D2648" s="9">
        <v>45395</v>
      </c>
      <c r="E2648" s="13" t="str">
        <f>+HYPERLINK("http://trademark.i-assist.jp/data/china/image_1883th/76518271.pdf","76518271")</f>
        <v>76518271</v>
      </c>
      <c r="F2648" s="7" t="s">
        <v>7169</v>
      </c>
      <c r="G2648" s="7" t="s">
        <v>7170</v>
      </c>
      <c r="H2648" s="7" t="s">
        <v>7171</v>
      </c>
      <c r="I2648" s="9">
        <v>45312</v>
      </c>
    </row>
    <row r="2649" spans="1:9" ht="27" x14ac:dyDescent="0.15">
      <c r="A2649" s="6">
        <v>2648</v>
      </c>
      <c r="B2649" s="7" t="s">
        <v>9</v>
      </c>
      <c r="C2649" s="8">
        <v>1883</v>
      </c>
      <c r="D2649" s="9">
        <v>45395</v>
      </c>
      <c r="E2649" s="13" t="str">
        <f>+HYPERLINK("http://trademark.i-assist.jp/data/china/image_1883th/76518454.pdf","76518454")</f>
        <v>76518454</v>
      </c>
      <c r="F2649" s="7" t="s">
        <v>7172</v>
      </c>
      <c r="G2649" s="7" t="s">
        <v>1454</v>
      </c>
      <c r="H2649" s="7" t="s">
        <v>7157</v>
      </c>
      <c r="I2649" s="9">
        <v>45312</v>
      </c>
    </row>
    <row r="2650" spans="1:9" ht="27" x14ac:dyDescent="0.15">
      <c r="A2650" s="6">
        <v>2649</v>
      </c>
      <c r="B2650" s="7" t="s">
        <v>9</v>
      </c>
      <c r="C2650" s="8">
        <v>1883</v>
      </c>
      <c r="D2650" s="9">
        <v>45395</v>
      </c>
      <c r="E2650" s="13" t="str">
        <f>+HYPERLINK("http://trademark.i-assist.jp/data/china/image_1883th/76518489.pdf","76518489")</f>
        <v>76518489</v>
      </c>
      <c r="F2650" s="7" t="s">
        <v>7173</v>
      </c>
      <c r="G2650" s="7" t="s">
        <v>7174</v>
      </c>
      <c r="H2650" s="7" t="s">
        <v>7175</v>
      </c>
      <c r="I2650" s="9">
        <v>45312</v>
      </c>
    </row>
    <row r="2651" spans="1:9" ht="27" x14ac:dyDescent="0.15">
      <c r="A2651" s="6">
        <v>2650</v>
      </c>
      <c r="B2651" s="7" t="s">
        <v>9</v>
      </c>
      <c r="C2651" s="8">
        <v>1883</v>
      </c>
      <c r="D2651" s="9">
        <v>45395</v>
      </c>
      <c r="E2651" s="13" t="str">
        <f>+HYPERLINK("http://trademark.i-assist.jp/data/china/image_1883th/76518538.pdf","76518538")</f>
        <v>76518538</v>
      </c>
      <c r="F2651" s="7" t="s">
        <v>7176</v>
      </c>
      <c r="G2651" s="7" t="s">
        <v>7177</v>
      </c>
      <c r="H2651" s="7" t="s">
        <v>7178</v>
      </c>
      <c r="I2651" s="9">
        <v>45312</v>
      </c>
    </row>
    <row r="2652" spans="1:9" x14ac:dyDescent="0.15">
      <c r="A2652" s="6">
        <v>2651</v>
      </c>
      <c r="B2652" s="7" t="s">
        <v>9</v>
      </c>
      <c r="C2652" s="8">
        <v>1883</v>
      </c>
      <c r="D2652" s="9">
        <v>45395</v>
      </c>
      <c r="E2652" s="13" t="str">
        <f>+HYPERLINK("http://trademark.i-assist.jp/data/china/image_1883th/76518539.pdf","76518539")</f>
        <v>76518539</v>
      </c>
      <c r="F2652" s="7" t="s">
        <v>7179</v>
      </c>
      <c r="G2652" s="7" t="s">
        <v>6127</v>
      </c>
      <c r="H2652" s="7" t="s">
        <v>7180</v>
      </c>
      <c r="I2652" s="9">
        <v>45312</v>
      </c>
    </row>
    <row r="2653" spans="1:9" x14ac:dyDescent="0.15">
      <c r="A2653" s="6">
        <v>2652</v>
      </c>
      <c r="B2653" s="7" t="s">
        <v>9</v>
      </c>
      <c r="C2653" s="8">
        <v>1883</v>
      </c>
      <c r="D2653" s="9">
        <v>45395</v>
      </c>
      <c r="E2653" s="13" t="str">
        <f>+HYPERLINK("http://trademark.i-assist.jp/data/china/image_1883th/76518673.pdf","76518673")</f>
        <v>76518673</v>
      </c>
      <c r="F2653" s="7" t="s">
        <v>7181</v>
      </c>
      <c r="G2653" s="7" t="s">
        <v>7159</v>
      </c>
      <c r="H2653" s="7" t="s">
        <v>7160</v>
      </c>
      <c r="I2653" s="9">
        <v>45312</v>
      </c>
    </row>
    <row r="2654" spans="1:9" x14ac:dyDescent="0.15">
      <c r="A2654" s="6">
        <v>2653</v>
      </c>
      <c r="B2654" s="7" t="s">
        <v>9</v>
      </c>
      <c r="C2654" s="8">
        <v>1883</v>
      </c>
      <c r="D2654" s="9">
        <v>45395</v>
      </c>
      <c r="E2654" s="13" t="str">
        <f>+HYPERLINK("http://trademark.i-assist.jp/data/china/image_1883th/76518971.pdf","76518971")</f>
        <v>76518971</v>
      </c>
      <c r="F2654" s="7" t="s">
        <v>7182</v>
      </c>
      <c r="G2654" s="7" t="s">
        <v>7183</v>
      </c>
      <c r="H2654" s="7" t="s">
        <v>7184</v>
      </c>
      <c r="I2654" s="9">
        <v>45312</v>
      </c>
    </row>
    <row r="2655" spans="1:9" ht="27" x14ac:dyDescent="0.15">
      <c r="A2655" s="6">
        <v>2654</v>
      </c>
      <c r="B2655" s="7" t="s">
        <v>9</v>
      </c>
      <c r="C2655" s="8">
        <v>1883</v>
      </c>
      <c r="D2655" s="9">
        <v>45395</v>
      </c>
      <c r="E2655" s="13" t="str">
        <f>+HYPERLINK("http://trademark.i-assist.jp/data/china/image_1883th/76518999.pdf","76518999")</f>
        <v>76518999</v>
      </c>
      <c r="F2655" s="7" t="s">
        <v>7185</v>
      </c>
      <c r="G2655" s="7" t="s">
        <v>6946</v>
      </c>
      <c r="H2655" s="7" t="s">
        <v>7186</v>
      </c>
      <c r="I2655" s="9">
        <v>45312</v>
      </c>
    </row>
    <row r="2656" spans="1:9" ht="27" x14ac:dyDescent="0.15">
      <c r="A2656" s="6">
        <v>2655</v>
      </c>
      <c r="B2656" s="7" t="s">
        <v>9</v>
      </c>
      <c r="C2656" s="8">
        <v>1883</v>
      </c>
      <c r="D2656" s="9">
        <v>45395</v>
      </c>
      <c r="E2656" s="13" t="str">
        <f>+HYPERLINK("http://trademark.i-assist.jp/data/china/image_1883th/76519000.pdf","76519000")</f>
        <v>76519000</v>
      </c>
      <c r="F2656" s="7" t="s">
        <v>7187</v>
      </c>
      <c r="G2656" s="7" t="s">
        <v>6946</v>
      </c>
      <c r="H2656" s="7" t="s">
        <v>6853</v>
      </c>
      <c r="I2656" s="9">
        <v>45312</v>
      </c>
    </row>
    <row r="2657" spans="1:9" x14ac:dyDescent="0.15">
      <c r="A2657" s="6">
        <v>2656</v>
      </c>
      <c r="B2657" s="7" t="s">
        <v>9</v>
      </c>
      <c r="C2657" s="8">
        <v>1883</v>
      </c>
      <c r="D2657" s="9">
        <v>45395</v>
      </c>
      <c r="E2657" s="13" t="str">
        <f>+HYPERLINK("http://trademark.i-assist.jp/data/china/image_1883th/76519028.pdf","76519028")</f>
        <v>76519028</v>
      </c>
      <c r="F2657" s="7" t="s">
        <v>7188</v>
      </c>
      <c r="G2657" s="7" t="s">
        <v>7189</v>
      </c>
      <c r="H2657" s="7" t="s">
        <v>7190</v>
      </c>
      <c r="I2657" s="9">
        <v>45312</v>
      </c>
    </row>
    <row r="2658" spans="1:9" ht="27" x14ac:dyDescent="0.15">
      <c r="A2658" s="6">
        <v>2657</v>
      </c>
      <c r="B2658" s="7" t="s">
        <v>9</v>
      </c>
      <c r="C2658" s="8">
        <v>1883</v>
      </c>
      <c r="D2658" s="9">
        <v>45395</v>
      </c>
      <c r="E2658" s="13" t="str">
        <f>+HYPERLINK("http://trademark.i-assist.jp/data/china/image_1883th/76519112.pdf","76519112")</f>
        <v>76519112</v>
      </c>
      <c r="F2658" s="7" t="s">
        <v>57</v>
      </c>
      <c r="G2658" s="7" t="s">
        <v>7167</v>
      </c>
      <c r="H2658" s="7" t="s">
        <v>7168</v>
      </c>
      <c r="I2658" s="9">
        <v>45312</v>
      </c>
    </row>
    <row r="2659" spans="1:9" x14ac:dyDescent="0.15">
      <c r="A2659" s="6">
        <v>2658</v>
      </c>
      <c r="B2659" s="7" t="s">
        <v>9</v>
      </c>
      <c r="C2659" s="8">
        <v>1883</v>
      </c>
      <c r="D2659" s="9">
        <v>45395</v>
      </c>
      <c r="E2659" s="13" t="str">
        <f>+HYPERLINK("http://trademark.i-assist.jp/data/china/image_1883th/76519116.pdf","76519116")</f>
        <v>76519116</v>
      </c>
      <c r="F2659" s="7" t="s">
        <v>7191</v>
      </c>
      <c r="G2659" s="7" t="s">
        <v>7192</v>
      </c>
      <c r="H2659" s="7" t="s">
        <v>7193</v>
      </c>
      <c r="I2659" s="9">
        <v>45312</v>
      </c>
    </row>
    <row r="2660" spans="1:9" x14ac:dyDescent="0.15">
      <c r="A2660" s="6">
        <v>2659</v>
      </c>
      <c r="B2660" s="7" t="s">
        <v>9</v>
      </c>
      <c r="C2660" s="8">
        <v>1883</v>
      </c>
      <c r="D2660" s="9">
        <v>45395</v>
      </c>
      <c r="E2660" s="13" t="str">
        <f>+HYPERLINK("http://trademark.i-assist.jp/data/china/image_1883th/76519135.pdf","76519135")</f>
        <v>76519135</v>
      </c>
      <c r="F2660" s="7" t="s">
        <v>7194</v>
      </c>
      <c r="G2660" s="7" t="s">
        <v>7195</v>
      </c>
      <c r="H2660" s="7" t="s">
        <v>7190</v>
      </c>
      <c r="I2660" s="9">
        <v>45312</v>
      </c>
    </row>
    <row r="2661" spans="1:9" x14ac:dyDescent="0.15">
      <c r="A2661" s="6">
        <v>2660</v>
      </c>
      <c r="B2661" s="7" t="s">
        <v>9</v>
      </c>
      <c r="C2661" s="8">
        <v>1883</v>
      </c>
      <c r="D2661" s="9">
        <v>45395</v>
      </c>
      <c r="E2661" s="13" t="str">
        <f>+HYPERLINK("http://trademark.i-assist.jp/data/china/image_1883th/76519203.pdf","76519203")</f>
        <v>76519203</v>
      </c>
      <c r="F2661" s="7" t="s">
        <v>7196</v>
      </c>
      <c r="G2661" s="7" t="s">
        <v>6127</v>
      </c>
      <c r="H2661" s="7" t="s">
        <v>7197</v>
      </c>
      <c r="I2661" s="9">
        <v>45312</v>
      </c>
    </row>
    <row r="2662" spans="1:9" x14ac:dyDescent="0.15">
      <c r="A2662" s="6">
        <v>2661</v>
      </c>
      <c r="B2662" s="7" t="s">
        <v>9</v>
      </c>
      <c r="C2662" s="8">
        <v>1883</v>
      </c>
      <c r="D2662" s="9">
        <v>45395</v>
      </c>
      <c r="E2662" s="13" t="str">
        <f>+HYPERLINK("http://trademark.i-assist.jp/data/china/image_1883th/76519400.pdf","76519400")</f>
        <v>76519400</v>
      </c>
      <c r="F2662" s="7" t="s">
        <v>7198</v>
      </c>
      <c r="G2662" s="7" t="s">
        <v>7192</v>
      </c>
      <c r="H2662" s="7" t="s">
        <v>7199</v>
      </c>
      <c r="I2662" s="9">
        <v>45312</v>
      </c>
    </row>
    <row r="2663" spans="1:9" x14ac:dyDescent="0.15">
      <c r="A2663" s="6">
        <v>2662</v>
      </c>
      <c r="B2663" s="7" t="s">
        <v>9</v>
      </c>
      <c r="C2663" s="8">
        <v>1883</v>
      </c>
      <c r="D2663" s="9">
        <v>45395</v>
      </c>
      <c r="E2663" s="13" t="str">
        <f>+HYPERLINK("http://trademark.i-assist.jp/data/china/image_1883th/76519468.pdf","76519468")</f>
        <v>76519468</v>
      </c>
      <c r="F2663" s="7" t="s">
        <v>7200</v>
      </c>
      <c r="G2663" s="7" t="s">
        <v>7201</v>
      </c>
      <c r="H2663" s="7" t="s">
        <v>1178</v>
      </c>
      <c r="I2663" s="9">
        <v>45312</v>
      </c>
    </row>
    <row r="2664" spans="1:9" x14ac:dyDescent="0.15">
      <c r="A2664" s="6">
        <v>2663</v>
      </c>
      <c r="B2664" s="7" t="s">
        <v>9</v>
      </c>
      <c r="C2664" s="8">
        <v>1883</v>
      </c>
      <c r="D2664" s="9">
        <v>45395</v>
      </c>
      <c r="E2664" s="13" t="str">
        <f>+HYPERLINK("http://trademark.i-assist.jp/data/china/image_1883th/76519480.pdf","76519480")</f>
        <v>76519480</v>
      </c>
      <c r="F2664" s="7" t="s">
        <v>57</v>
      </c>
      <c r="G2664" s="7" t="s">
        <v>7202</v>
      </c>
      <c r="H2664" s="7" t="s">
        <v>7203</v>
      </c>
      <c r="I2664" s="9">
        <v>45312</v>
      </c>
    </row>
    <row r="2665" spans="1:9" ht="27" x14ac:dyDescent="0.15">
      <c r="A2665" s="6">
        <v>2664</v>
      </c>
      <c r="B2665" s="7" t="s">
        <v>9</v>
      </c>
      <c r="C2665" s="8">
        <v>1883</v>
      </c>
      <c r="D2665" s="9">
        <v>45395</v>
      </c>
      <c r="E2665" s="13" t="str">
        <f>+HYPERLINK("http://trademark.i-assist.jp/data/china/image_1883th/76519645.pdf","76519645")</f>
        <v>76519645</v>
      </c>
      <c r="F2665" s="7" t="s">
        <v>7204</v>
      </c>
      <c r="G2665" s="7" t="s">
        <v>7205</v>
      </c>
      <c r="H2665" s="7" t="s">
        <v>7206</v>
      </c>
      <c r="I2665" s="9">
        <v>45313</v>
      </c>
    </row>
    <row r="2666" spans="1:9" x14ac:dyDescent="0.15">
      <c r="A2666" s="6">
        <v>2665</v>
      </c>
      <c r="B2666" s="7" t="s">
        <v>9</v>
      </c>
      <c r="C2666" s="8">
        <v>1883</v>
      </c>
      <c r="D2666" s="9">
        <v>45395</v>
      </c>
      <c r="E2666" s="13" t="str">
        <f>+HYPERLINK("http://trademark.i-assist.jp/data/china/image_1883th/76519816.pdf","76519816")</f>
        <v>76519816</v>
      </c>
      <c r="F2666" s="7" t="s">
        <v>7207</v>
      </c>
      <c r="G2666" s="7" t="s">
        <v>7208</v>
      </c>
      <c r="H2666" s="7" t="s">
        <v>7209</v>
      </c>
      <c r="I2666" s="9">
        <v>45313</v>
      </c>
    </row>
    <row r="2667" spans="1:9" x14ac:dyDescent="0.15">
      <c r="A2667" s="6">
        <v>2666</v>
      </c>
      <c r="B2667" s="7" t="s">
        <v>9</v>
      </c>
      <c r="C2667" s="8">
        <v>1883</v>
      </c>
      <c r="D2667" s="9">
        <v>45395</v>
      </c>
      <c r="E2667" s="13" t="str">
        <f>+HYPERLINK("http://trademark.i-assist.jp/data/china/image_1883th/76520013.pdf","76520013")</f>
        <v>76520013</v>
      </c>
      <c r="F2667" s="7" t="s">
        <v>7210</v>
      </c>
      <c r="G2667" s="7" t="s">
        <v>7211</v>
      </c>
      <c r="H2667" s="7" t="s">
        <v>7212</v>
      </c>
      <c r="I2667" s="9">
        <v>45313</v>
      </c>
    </row>
    <row r="2668" spans="1:9" ht="27" x14ac:dyDescent="0.15">
      <c r="A2668" s="6">
        <v>2667</v>
      </c>
      <c r="B2668" s="7" t="s">
        <v>9</v>
      </c>
      <c r="C2668" s="8">
        <v>1883</v>
      </c>
      <c r="D2668" s="9">
        <v>45395</v>
      </c>
      <c r="E2668" s="13" t="str">
        <f>+HYPERLINK("http://trademark.i-assist.jp/data/china/image_1883th/76520091.pdf","76520091")</f>
        <v>76520091</v>
      </c>
      <c r="F2668" s="7" t="s">
        <v>7213</v>
      </c>
      <c r="G2668" s="7" t="s">
        <v>7214</v>
      </c>
      <c r="H2668" s="7" t="s">
        <v>7215</v>
      </c>
      <c r="I2668" s="9">
        <v>45313</v>
      </c>
    </row>
    <row r="2669" spans="1:9" x14ac:dyDescent="0.15">
      <c r="A2669" s="6">
        <v>2668</v>
      </c>
      <c r="B2669" s="7" t="s">
        <v>9</v>
      </c>
      <c r="C2669" s="8">
        <v>1883</v>
      </c>
      <c r="D2669" s="9">
        <v>45395</v>
      </c>
      <c r="E2669" s="13" t="str">
        <f>+HYPERLINK("http://trademark.i-assist.jp/data/china/image_1883th/76520153.pdf","76520153")</f>
        <v>76520153</v>
      </c>
      <c r="F2669" s="7" t="s">
        <v>7216</v>
      </c>
      <c r="G2669" s="7" t="s">
        <v>7217</v>
      </c>
      <c r="H2669" s="7" t="s">
        <v>7218</v>
      </c>
      <c r="I2669" s="9">
        <v>45313</v>
      </c>
    </row>
    <row r="2670" spans="1:9" x14ac:dyDescent="0.15">
      <c r="A2670" s="6">
        <v>2669</v>
      </c>
      <c r="B2670" s="7" t="s">
        <v>9</v>
      </c>
      <c r="C2670" s="8">
        <v>1883</v>
      </c>
      <c r="D2670" s="9">
        <v>45395</v>
      </c>
      <c r="E2670" s="13" t="str">
        <f>+HYPERLINK("http://trademark.i-assist.jp/data/china/image_1883th/76520428.pdf","76520428")</f>
        <v>76520428</v>
      </c>
      <c r="F2670" s="7" t="s">
        <v>7219</v>
      </c>
      <c r="G2670" s="7" t="s">
        <v>7220</v>
      </c>
      <c r="H2670" s="7" t="s">
        <v>7221</v>
      </c>
      <c r="I2670" s="9">
        <v>45313</v>
      </c>
    </row>
    <row r="2671" spans="1:9" x14ac:dyDescent="0.15">
      <c r="A2671" s="6">
        <v>2670</v>
      </c>
      <c r="B2671" s="7" t="s">
        <v>9</v>
      </c>
      <c r="C2671" s="8">
        <v>1883</v>
      </c>
      <c r="D2671" s="9">
        <v>45395</v>
      </c>
      <c r="E2671" s="13" t="str">
        <f>+HYPERLINK("http://trademark.i-assist.jp/data/china/image_1883th/76520457.pdf","76520457")</f>
        <v>76520457</v>
      </c>
      <c r="F2671" s="7" t="s">
        <v>7222</v>
      </c>
      <c r="G2671" s="7" t="s">
        <v>7223</v>
      </c>
      <c r="H2671" s="7" t="s">
        <v>7224</v>
      </c>
      <c r="I2671" s="9">
        <v>45313</v>
      </c>
    </row>
    <row r="2672" spans="1:9" x14ac:dyDescent="0.15">
      <c r="A2672" s="6">
        <v>2671</v>
      </c>
      <c r="B2672" s="7" t="s">
        <v>9</v>
      </c>
      <c r="C2672" s="8">
        <v>1883</v>
      </c>
      <c r="D2672" s="9">
        <v>45395</v>
      </c>
      <c r="E2672" s="13" t="str">
        <f>+HYPERLINK("http://trademark.i-assist.jp/data/china/image_1883th/76520460.pdf","76520460")</f>
        <v>76520460</v>
      </c>
      <c r="F2672" s="7" t="s">
        <v>7225</v>
      </c>
      <c r="G2672" s="7" t="s">
        <v>7226</v>
      </c>
      <c r="H2672" s="7" t="s">
        <v>7227</v>
      </c>
      <c r="I2672" s="9">
        <v>45313</v>
      </c>
    </row>
    <row r="2673" spans="1:9" x14ac:dyDescent="0.15">
      <c r="A2673" s="6">
        <v>2672</v>
      </c>
      <c r="B2673" s="7" t="s">
        <v>9</v>
      </c>
      <c r="C2673" s="8">
        <v>1883</v>
      </c>
      <c r="D2673" s="9">
        <v>45395</v>
      </c>
      <c r="E2673" s="13" t="str">
        <f>+HYPERLINK("http://trademark.i-assist.jp/data/china/image_1883th/76520474.pdf","76520474")</f>
        <v>76520474</v>
      </c>
      <c r="F2673" s="7" t="s">
        <v>7228</v>
      </c>
      <c r="G2673" s="7" t="s">
        <v>7229</v>
      </c>
      <c r="H2673" s="7" t="s">
        <v>7230</v>
      </c>
      <c r="I2673" s="9">
        <v>45313</v>
      </c>
    </row>
    <row r="2674" spans="1:9" x14ac:dyDescent="0.15">
      <c r="A2674" s="6">
        <v>2673</v>
      </c>
      <c r="B2674" s="7" t="s">
        <v>9</v>
      </c>
      <c r="C2674" s="8">
        <v>1883</v>
      </c>
      <c r="D2674" s="9">
        <v>45395</v>
      </c>
      <c r="E2674" s="13" t="str">
        <f>+HYPERLINK("http://trademark.i-assist.jp/data/china/image_1883th/76520488.pdf","76520488")</f>
        <v>76520488</v>
      </c>
      <c r="F2674" s="7" t="s">
        <v>7231</v>
      </c>
      <c r="G2674" s="7" t="s">
        <v>7232</v>
      </c>
      <c r="H2674" s="7" t="s">
        <v>7233</v>
      </c>
      <c r="I2674" s="9">
        <v>45313</v>
      </c>
    </row>
    <row r="2675" spans="1:9" x14ac:dyDescent="0.15">
      <c r="A2675" s="6">
        <v>2674</v>
      </c>
      <c r="B2675" s="7" t="s">
        <v>9</v>
      </c>
      <c r="C2675" s="8">
        <v>1883</v>
      </c>
      <c r="D2675" s="9">
        <v>45395</v>
      </c>
      <c r="E2675" s="13" t="str">
        <f>+HYPERLINK("http://trademark.i-assist.jp/data/china/image_1883th/76520525.pdf","76520525")</f>
        <v>76520525</v>
      </c>
      <c r="F2675" s="7" t="s">
        <v>7234</v>
      </c>
      <c r="G2675" s="7" t="s">
        <v>7235</v>
      </c>
      <c r="H2675" s="7" t="s">
        <v>7236</v>
      </c>
      <c r="I2675" s="9">
        <v>45313</v>
      </c>
    </row>
    <row r="2676" spans="1:9" x14ac:dyDescent="0.15">
      <c r="A2676" s="6">
        <v>2675</v>
      </c>
      <c r="B2676" s="7" t="s">
        <v>9</v>
      </c>
      <c r="C2676" s="8">
        <v>1883</v>
      </c>
      <c r="D2676" s="9">
        <v>45395</v>
      </c>
      <c r="E2676" s="13" t="str">
        <f>+HYPERLINK("http://trademark.i-assist.jp/data/china/image_1883th/76520835.pdf","76520835")</f>
        <v>76520835</v>
      </c>
      <c r="F2676" s="7" t="s">
        <v>7237</v>
      </c>
      <c r="G2676" s="7" t="s">
        <v>7238</v>
      </c>
      <c r="H2676" s="7" t="s">
        <v>7239</v>
      </c>
      <c r="I2676" s="9">
        <v>45313</v>
      </c>
    </row>
    <row r="2677" spans="1:9" x14ac:dyDescent="0.15">
      <c r="A2677" s="6">
        <v>2676</v>
      </c>
      <c r="B2677" s="7" t="s">
        <v>9</v>
      </c>
      <c r="C2677" s="8">
        <v>1883</v>
      </c>
      <c r="D2677" s="9">
        <v>45395</v>
      </c>
      <c r="E2677" s="13" t="str">
        <f>+HYPERLINK("http://trademark.i-assist.jp/data/china/image_1883th/76521184.pdf","76521184")</f>
        <v>76521184</v>
      </c>
      <c r="F2677" s="7" t="s">
        <v>7240</v>
      </c>
      <c r="G2677" s="7" t="s">
        <v>7241</v>
      </c>
      <c r="H2677" s="7" t="s">
        <v>7242</v>
      </c>
      <c r="I2677" s="9">
        <v>45313</v>
      </c>
    </row>
    <row r="2678" spans="1:9" ht="27" x14ac:dyDescent="0.15">
      <c r="A2678" s="6">
        <v>2677</v>
      </c>
      <c r="B2678" s="7" t="s">
        <v>9</v>
      </c>
      <c r="C2678" s="8">
        <v>1883</v>
      </c>
      <c r="D2678" s="9">
        <v>45395</v>
      </c>
      <c r="E2678" s="13" t="str">
        <f>+HYPERLINK("http://trademark.i-assist.jp/data/china/image_1883th/76521195.pdf","76521195")</f>
        <v>76521195</v>
      </c>
      <c r="F2678" s="7" t="s">
        <v>7243</v>
      </c>
      <c r="G2678" s="7" t="s">
        <v>7244</v>
      </c>
      <c r="H2678" s="7" t="s">
        <v>7245</v>
      </c>
      <c r="I2678" s="9">
        <v>45313</v>
      </c>
    </row>
    <row r="2679" spans="1:9" x14ac:dyDescent="0.15">
      <c r="A2679" s="6">
        <v>2678</v>
      </c>
      <c r="B2679" s="7" t="s">
        <v>9</v>
      </c>
      <c r="C2679" s="8">
        <v>1883</v>
      </c>
      <c r="D2679" s="9">
        <v>45395</v>
      </c>
      <c r="E2679" s="13" t="str">
        <f>+HYPERLINK("http://trademark.i-assist.jp/data/china/image_1883th/76521358.pdf","76521358")</f>
        <v>76521358</v>
      </c>
      <c r="F2679" s="7" t="s">
        <v>7246</v>
      </c>
      <c r="G2679" s="7" t="s">
        <v>7247</v>
      </c>
      <c r="H2679" s="7" t="s">
        <v>7248</v>
      </c>
      <c r="I2679" s="9">
        <v>45313</v>
      </c>
    </row>
    <row r="2680" spans="1:9" x14ac:dyDescent="0.15">
      <c r="A2680" s="6">
        <v>2679</v>
      </c>
      <c r="B2680" s="7" t="s">
        <v>9</v>
      </c>
      <c r="C2680" s="8">
        <v>1883</v>
      </c>
      <c r="D2680" s="9">
        <v>45395</v>
      </c>
      <c r="E2680" s="13" t="str">
        <f>+HYPERLINK("http://trademark.i-assist.jp/data/china/image_1883th/76521839.pdf","76521839")</f>
        <v>76521839</v>
      </c>
      <c r="F2680" s="7" t="s">
        <v>7249</v>
      </c>
      <c r="G2680" s="7" t="s">
        <v>7250</v>
      </c>
      <c r="H2680" s="7" t="s">
        <v>7251</v>
      </c>
      <c r="I2680" s="9">
        <v>45313</v>
      </c>
    </row>
    <row r="2681" spans="1:9" x14ac:dyDescent="0.15">
      <c r="A2681" s="6">
        <v>2680</v>
      </c>
      <c r="B2681" s="7" t="s">
        <v>9</v>
      </c>
      <c r="C2681" s="8">
        <v>1883</v>
      </c>
      <c r="D2681" s="9">
        <v>45395</v>
      </c>
      <c r="E2681" s="13" t="str">
        <f>+HYPERLINK("http://trademark.i-assist.jp/data/china/image_1883th/76522149.pdf","76522149")</f>
        <v>76522149</v>
      </c>
      <c r="F2681" s="7" t="s">
        <v>7252</v>
      </c>
      <c r="G2681" s="7" t="s">
        <v>7253</v>
      </c>
      <c r="H2681" s="7" t="s">
        <v>7254</v>
      </c>
      <c r="I2681" s="9">
        <v>45313</v>
      </c>
    </row>
    <row r="2682" spans="1:9" x14ac:dyDescent="0.15">
      <c r="A2682" s="6">
        <v>2681</v>
      </c>
      <c r="B2682" s="7" t="s">
        <v>9</v>
      </c>
      <c r="C2682" s="8">
        <v>1883</v>
      </c>
      <c r="D2682" s="9">
        <v>45395</v>
      </c>
      <c r="E2682" s="13" t="str">
        <f>+HYPERLINK("http://trademark.i-assist.jp/data/china/image_1883th/76522185.pdf","76522185")</f>
        <v>76522185</v>
      </c>
      <c r="F2682" s="7" t="s">
        <v>7255</v>
      </c>
      <c r="G2682" s="7" t="s">
        <v>7256</v>
      </c>
      <c r="H2682" s="7" t="s">
        <v>7257</v>
      </c>
      <c r="I2682" s="9">
        <v>45313</v>
      </c>
    </row>
    <row r="2683" spans="1:9" x14ac:dyDescent="0.15">
      <c r="A2683" s="6">
        <v>2682</v>
      </c>
      <c r="B2683" s="7" t="s">
        <v>9</v>
      </c>
      <c r="C2683" s="8">
        <v>1883</v>
      </c>
      <c r="D2683" s="9">
        <v>45395</v>
      </c>
      <c r="E2683" s="13" t="str">
        <f>+HYPERLINK("http://trademark.i-assist.jp/data/china/image_1883th/76522378.pdf","76522378")</f>
        <v>76522378</v>
      </c>
      <c r="F2683" s="7" t="s">
        <v>7258</v>
      </c>
      <c r="G2683" s="7" t="s">
        <v>7259</v>
      </c>
      <c r="H2683" s="7" t="s">
        <v>7260</v>
      </c>
      <c r="I2683" s="9">
        <v>45313</v>
      </c>
    </row>
    <row r="2684" spans="1:9" x14ac:dyDescent="0.15">
      <c r="A2684" s="6">
        <v>2683</v>
      </c>
      <c r="B2684" s="7" t="s">
        <v>9</v>
      </c>
      <c r="C2684" s="8">
        <v>1883</v>
      </c>
      <c r="D2684" s="9">
        <v>45395</v>
      </c>
      <c r="E2684" s="13" t="str">
        <f>+HYPERLINK("http://trademark.i-assist.jp/data/china/image_1883th/76522691.pdf","76522691")</f>
        <v>76522691</v>
      </c>
      <c r="F2684" s="7" t="s">
        <v>7261</v>
      </c>
      <c r="G2684" s="7" t="s">
        <v>7229</v>
      </c>
      <c r="H2684" s="7" t="s">
        <v>7262</v>
      </c>
      <c r="I2684" s="9">
        <v>45313</v>
      </c>
    </row>
    <row r="2685" spans="1:9" x14ac:dyDescent="0.15">
      <c r="A2685" s="6">
        <v>2684</v>
      </c>
      <c r="B2685" s="7" t="s">
        <v>9</v>
      </c>
      <c r="C2685" s="8">
        <v>1883</v>
      </c>
      <c r="D2685" s="9">
        <v>45395</v>
      </c>
      <c r="E2685" s="13" t="str">
        <f>+HYPERLINK("http://trademark.i-assist.jp/data/china/image_1883th/76522772.pdf","76522772")</f>
        <v>76522772</v>
      </c>
      <c r="F2685" s="7" t="s">
        <v>7263</v>
      </c>
      <c r="G2685" s="7" t="s">
        <v>7253</v>
      </c>
      <c r="H2685" s="7" t="s">
        <v>7264</v>
      </c>
      <c r="I2685" s="9">
        <v>45313</v>
      </c>
    </row>
    <row r="2686" spans="1:9" x14ac:dyDescent="0.15">
      <c r="A2686" s="6">
        <v>2685</v>
      </c>
      <c r="B2686" s="7" t="s">
        <v>9</v>
      </c>
      <c r="C2686" s="8">
        <v>1883</v>
      </c>
      <c r="D2686" s="9">
        <v>45395</v>
      </c>
      <c r="E2686" s="13" t="str">
        <f>+HYPERLINK("http://trademark.i-assist.jp/data/china/image_1883th/76522986.pdf","76522986")</f>
        <v>76522986</v>
      </c>
      <c r="F2686" s="7" t="s">
        <v>7265</v>
      </c>
      <c r="G2686" s="7" t="s">
        <v>7266</v>
      </c>
      <c r="H2686" s="7" t="s">
        <v>7267</v>
      </c>
      <c r="I2686" s="9">
        <v>45313</v>
      </c>
    </row>
    <row r="2687" spans="1:9" ht="27" x14ac:dyDescent="0.15">
      <c r="A2687" s="6">
        <v>2686</v>
      </c>
      <c r="B2687" s="7" t="s">
        <v>9</v>
      </c>
      <c r="C2687" s="8">
        <v>1883</v>
      </c>
      <c r="D2687" s="9">
        <v>45395</v>
      </c>
      <c r="E2687" s="13" t="str">
        <f>+HYPERLINK("http://trademark.i-assist.jp/data/china/image_1883th/76523120.pdf","76523120")</f>
        <v>76523120</v>
      </c>
      <c r="F2687" s="7" t="s">
        <v>7268</v>
      </c>
      <c r="G2687" s="7" t="s">
        <v>7269</v>
      </c>
      <c r="H2687" s="7" t="s">
        <v>7270</v>
      </c>
      <c r="I2687" s="9">
        <v>45313</v>
      </c>
    </row>
    <row r="2688" spans="1:9" x14ac:dyDescent="0.15">
      <c r="A2688" s="6">
        <v>2687</v>
      </c>
      <c r="B2688" s="7" t="s">
        <v>9</v>
      </c>
      <c r="C2688" s="8">
        <v>1883</v>
      </c>
      <c r="D2688" s="9">
        <v>45395</v>
      </c>
      <c r="E2688" s="13" t="str">
        <f>+HYPERLINK("http://trademark.i-assist.jp/data/china/image_1883th/76523239.pdf","76523239")</f>
        <v>76523239</v>
      </c>
      <c r="F2688" s="7" t="s">
        <v>7271</v>
      </c>
      <c r="G2688" s="7" t="s">
        <v>7229</v>
      </c>
      <c r="H2688" s="7" t="s">
        <v>7230</v>
      </c>
      <c r="I2688" s="9">
        <v>45313</v>
      </c>
    </row>
    <row r="2689" spans="1:9" x14ac:dyDescent="0.15">
      <c r="A2689" s="6">
        <v>2688</v>
      </c>
      <c r="B2689" s="7" t="s">
        <v>9</v>
      </c>
      <c r="C2689" s="8">
        <v>1883</v>
      </c>
      <c r="D2689" s="9">
        <v>45395</v>
      </c>
      <c r="E2689" s="13" t="str">
        <f>+HYPERLINK("http://trademark.i-assist.jp/data/china/image_1883th/76523379.pdf","76523379")</f>
        <v>76523379</v>
      </c>
      <c r="F2689" s="7" t="s">
        <v>7272</v>
      </c>
      <c r="G2689" s="7" t="s">
        <v>7273</v>
      </c>
      <c r="H2689" s="7" t="s">
        <v>7274</v>
      </c>
      <c r="I2689" s="9">
        <v>45313</v>
      </c>
    </row>
    <row r="2690" spans="1:9" x14ac:dyDescent="0.15">
      <c r="A2690" s="6">
        <v>2689</v>
      </c>
      <c r="B2690" s="7" t="s">
        <v>9</v>
      </c>
      <c r="C2690" s="8">
        <v>1883</v>
      </c>
      <c r="D2690" s="9">
        <v>45395</v>
      </c>
      <c r="E2690" s="13" t="str">
        <f>+HYPERLINK("http://trademark.i-assist.jp/data/china/image_1883th/76524036.pdf","76524036")</f>
        <v>76524036</v>
      </c>
      <c r="F2690" s="7" t="s">
        <v>7275</v>
      </c>
      <c r="G2690" s="7" t="s">
        <v>4177</v>
      </c>
      <c r="H2690" s="7" t="s">
        <v>7276</v>
      </c>
      <c r="I2690" s="9">
        <v>45313</v>
      </c>
    </row>
    <row r="2691" spans="1:9" x14ac:dyDescent="0.15">
      <c r="A2691" s="6">
        <v>2690</v>
      </c>
      <c r="B2691" s="7" t="s">
        <v>9</v>
      </c>
      <c r="C2691" s="8">
        <v>1883</v>
      </c>
      <c r="D2691" s="9">
        <v>45395</v>
      </c>
      <c r="E2691" s="13" t="str">
        <f>+HYPERLINK("http://trademark.i-assist.jp/data/china/image_1883th/76524081.pdf","76524081")</f>
        <v>76524081</v>
      </c>
      <c r="F2691" s="7" t="s">
        <v>7277</v>
      </c>
      <c r="G2691" s="7" t="s">
        <v>7278</v>
      </c>
      <c r="H2691" s="7" t="s">
        <v>7279</v>
      </c>
      <c r="I2691" s="9">
        <v>45313</v>
      </c>
    </row>
    <row r="2692" spans="1:9" x14ac:dyDescent="0.15">
      <c r="A2692" s="6">
        <v>2691</v>
      </c>
      <c r="B2692" s="7" t="s">
        <v>9</v>
      </c>
      <c r="C2692" s="8">
        <v>1883</v>
      </c>
      <c r="D2692" s="9">
        <v>45395</v>
      </c>
      <c r="E2692" s="13" t="str">
        <f>+HYPERLINK("http://trademark.i-assist.jp/data/china/image_1883th/76524304.pdf","76524304")</f>
        <v>76524304</v>
      </c>
      <c r="F2692" s="7" t="s">
        <v>7280</v>
      </c>
      <c r="G2692" s="7" t="s">
        <v>7208</v>
      </c>
      <c r="H2692" s="7" t="s">
        <v>7281</v>
      </c>
      <c r="I2692" s="9">
        <v>45313</v>
      </c>
    </row>
    <row r="2693" spans="1:9" x14ac:dyDescent="0.15">
      <c r="A2693" s="6">
        <v>2692</v>
      </c>
      <c r="B2693" s="7" t="s">
        <v>9</v>
      </c>
      <c r="C2693" s="8">
        <v>1883</v>
      </c>
      <c r="D2693" s="9">
        <v>45395</v>
      </c>
      <c r="E2693" s="13" t="str">
        <f>+HYPERLINK("http://trademark.i-assist.jp/data/china/image_1883th/76524472.pdf","76524472")</f>
        <v>76524472</v>
      </c>
      <c r="F2693" s="7" t="s">
        <v>7282</v>
      </c>
      <c r="G2693" s="7" t="s">
        <v>7283</v>
      </c>
      <c r="H2693" s="7" t="s">
        <v>7284</v>
      </c>
      <c r="I2693" s="9">
        <v>45313</v>
      </c>
    </row>
    <row r="2694" spans="1:9" x14ac:dyDescent="0.15">
      <c r="A2694" s="6">
        <v>2693</v>
      </c>
      <c r="B2694" s="7" t="s">
        <v>9</v>
      </c>
      <c r="C2694" s="8">
        <v>1883</v>
      </c>
      <c r="D2694" s="9">
        <v>45395</v>
      </c>
      <c r="E2694" s="13" t="str">
        <f>+HYPERLINK("http://trademark.i-assist.jp/data/china/image_1883th/76524757.pdf","76524757")</f>
        <v>76524757</v>
      </c>
      <c r="F2694" s="7" t="s">
        <v>7285</v>
      </c>
      <c r="G2694" s="7" t="s">
        <v>7286</v>
      </c>
      <c r="H2694" s="7" t="s">
        <v>7287</v>
      </c>
      <c r="I2694" s="9">
        <v>45313</v>
      </c>
    </row>
    <row r="2695" spans="1:9" x14ac:dyDescent="0.15">
      <c r="A2695" s="6">
        <v>2694</v>
      </c>
      <c r="B2695" s="7" t="s">
        <v>9</v>
      </c>
      <c r="C2695" s="8">
        <v>1883</v>
      </c>
      <c r="D2695" s="9">
        <v>45395</v>
      </c>
      <c r="E2695" s="13" t="str">
        <f>+HYPERLINK("http://trademark.i-assist.jp/data/china/image_1883th/76525156.pdf","76525156")</f>
        <v>76525156</v>
      </c>
      <c r="F2695" s="7" t="s">
        <v>7288</v>
      </c>
      <c r="G2695" s="7" t="s">
        <v>7289</v>
      </c>
      <c r="H2695" s="7" t="s">
        <v>7290</v>
      </c>
      <c r="I2695" s="9">
        <v>45313</v>
      </c>
    </row>
    <row r="2696" spans="1:9" x14ac:dyDescent="0.15">
      <c r="A2696" s="6">
        <v>2695</v>
      </c>
      <c r="B2696" s="7" t="s">
        <v>9</v>
      </c>
      <c r="C2696" s="8">
        <v>1883</v>
      </c>
      <c r="D2696" s="9">
        <v>45395</v>
      </c>
      <c r="E2696" s="13" t="str">
        <f>+HYPERLINK("http://trademark.i-assist.jp/data/china/image_1883th/76525207.pdf","76525207")</f>
        <v>76525207</v>
      </c>
      <c r="F2696" s="7" t="s">
        <v>7291</v>
      </c>
      <c r="G2696" s="7" t="s">
        <v>7292</v>
      </c>
      <c r="H2696" s="7" t="s">
        <v>7293</v>
      </c>
      <c r="I2696" s="9">
        <v>45313</v>
      </c>
    </row>
    <row r="2697" spans="1:9" ht="27" x14ac:dyDescent="0.15">
      <c r="A2697" s="6">
        <v>2696</v>
      </c>
      <c r="B2697" s="7" t="s">
        <v>9</v>
      </c>
      <c r="C2697" s="8">
        <v>1883</v>
      </c>
      <c r="D2697" s="9">
        <v>45395</v>
      </c>
      <c r="E2697" s="13" t="str">
        <f>+HYPERLINK("http://trademark.i-assist.jp/data/china/image_1883th/76525645.pdf","76525645")</f>
        <v>76525645</v>
      </c>
      <c r="F2697" s="7" t="s">
        <v>7294</v>
      </c>
      <c r="G2697" s="7" t="s">
        <v>397</v>
      </c>
      <c r="H2697" s="7" t="s">
        <v>7295</v>
      </c>
      <c r="I2697" s="9">
        <v>45313</v>
      </c>
    </row>
    <row r="2698" spans="1:9" x14ac:dyDescent="0.15">
      <c r="A2698" s="6">
        <v>2697</v>
      </c>
      <c r="B2698" s="7" t="s">
        <v>9</v>
      </c>
      <c r="C2698" s="8">
        <v>1883</v>
      </c>
      <c r="D2698" s="9">
        <v>45395</v>
      </c>
      <c r="E2698" s="13" t="str">
        <f>+HYPERLINK("http://trademark.i-assist.jp/data/china/image_1883th/76525833.pdf","76525833")</f>
        <v>76525833</v>
      </c>
      <c r="F2698" s="7" t="s">
        <v>7296</v>
      </c>
      <c r="G2698" s="7" t="s">
        <v>7297</v>
      </c>
      <c r="H2698" s="7" t="s">
        <v>7298</v>
      </c>
      <c r="I2698" s="9">
        <v>45313</v>
      </c>
    </row>
    <row r="2699" spans="1:9" x14ac:dyDescent="0.15">
      <c r="A2699" s="6">
        <v>2698</v>
      </c>
      <c r="B2699" s="7" t="s">
        <v>9</v>
      </c>
      <c r="C2699" s="8">
        <v>1883</v>
      </c>
      <c r="D2699" s="9">
        <v>45395</v>
      </c>
      <c r="E2699" s="13" t="str">
        <f>+HYPERLINK("http://trademark.i-assist.jp/data/china/image_1883th/76526284.pdf","76526284")</f>
        <v>76526284</v>
      </c>
      <c r="F2699" s="7" t="s">
        <v>7299</v>
      </c>
      <c r="G2699" s="7" t="s">
        <v>7229</v>
      </c>
      <c r="H2699" s="7" t="s">
        <v>7230</v>
      </c>
      <c r="I2699" s="9">
        <v>45313</v>
      </c>
    </row>
    <row r="2700" spans="1:9" x14ac:dyDescent="0.15">
      <c r="A2700" s="6">
        <v>2699</v>
      </c>
      <c r="B2700" s="7" t="s">
        <v>9</v>
      </c>
      <c r="C2700" s="8">
        <v>1883</v>
      </c>
      <c r="D2700" s="9">
        <v>45395</v>
      </c>
      <c r="E2700" s="13" t="str">
        <f>+HYPERLINK("http://trademark.i-assist.jp/data/china/image_1883th/76526642.pdf","76526642")</f>
        <v>76526642</v>
      </c>
      <c r="F2700" s="7" t="s">
        <v>7300</v>
      </c>
      <c r="G2700" s="7" t="s">
        <v>7229</v>
      </c>
      <c r="H2700" s="7" t="s">
        <v>7301</v>
      </c>
      <c r="I2700" s="9">
        <v>45313</v>
      </c>
    </row>
    <row r="2701" spans="1:9" x14ac:dyDescent="0.15">
      <c r="A2701" s="6">
        <v>2700</v>
      </c>
      <c r="B2701" s="7" t="s">
        <v>9</v>
      </c>
      <c r="C2701" s="8">
        <v>1883</v>
      </c>
      <c r="D2701" s="9">
        <v>45395</v>
      </c>
      <c r="E2701" s="13" t="str">
        <f>+HYPERLINK("http://trademark.i-assist.jp/data/china/image_1883th/76526962.pdf","76526962")</f>
        <v>76526962</v>
      </c>
      <c r="F2701" s="7" t="s">
        <v>7302</v>
      </c>
      <c r="G2701" s="7" t="s">
        <v>7303</v>
      </c>
      <c r="H2701" s="7" t="s">
        <v>7304</v>
      </c>
      <c r="I2701" s="9">
        <v>45313</v>
      </c>
    </row>
    <row r="2702" spans="1:9" x14ac:dyDescent="0.15">
      <c r="A2702" s="6">
        <v>2701</v>
      </c>
      <c r="B2702" s="7" t="s">
        <v>9</v>
      </c>
      <c r="C2702" s="8">
        <v>1883</v>
      </c>
      <c r="D2702" s="9">
        <v>45395</v>
      </c>
      <c r="E2702" s="13" t="str">
        <f>+HYPERLINK("http://trademark.i-assist.jp/data/china/image_1883th/76527200.pdf","76527200")</f>
        <v>76527200</v>
      </c>
      <c r="F2702" s="7" t="s">
        <v>7305</v>
      </c>
      <c r="G2702" s="7" t="s">
        <v>7306</v>
      </c>
      <c r="H2702" s="7" t="s">
        <v>7307</v>
      </c>
      <c r="I2702" s="9">
        <v>45313</v>
      </c>
    </row>
    <row r="2703" spans="1:9" x14ac:dyDescent="0.15">
      <c r="A2703" s="6">
        <v>2702</v>
      </c>
      <c r="B2703" s="7" t="s">
        <v>9</v>
      </c>
      <c r="C2703" s="8">
        <v>1883</v>
      </c>
      <c r="D2703" s="9">
        <v>45395</v>
      </c>
      <c r="E2703" s="13" t="str">
        <f>+HYPERLINK("http://trademark.i-assist.jp/data/china/image_1883th/76527414.pdf","76527414")</f>
        <v>76527414</v>
      </c>
      <c r="F2703" s="7" t="s">
        <v>7308</v>
      </c>
      <c r="G2703" s="7" t="s">
        <v>7309</v>
      </c>
      <c r="H2703" s="7" t="s">
        <v>7310</v>
      </c>
      <c r="I2703" s="9">
        <v>45313</v>
      </c>
    </row>
    <row r="2704" spans="1:9" x14ac:dyDescent="0.15">
      <c r="A2704" s="6">
        <v>2703</v>
      </c>
      <c r="B2704" s="7" t="s">
        <v>9</v>
      </c>
      <c r="C2704" s="8">
        <v>1883</v>
      </c>
      <c r="D2704" s="9">
        <v>45395</v>
      </c>
      <c r="E2704" s="13" t="str">
        <f>+HYPERLINK("http://trademark.i-assist.jp/data/china/image_1883th/76527485.pdf","76527485")</f>
        <v>76527485</v>
      </c>
      <c r="F2704" s="7" t="s">
        <v>7311</v>
      </c>
      <c r="G2704" s="7" t="s">
        <v>7312</v>
      </c>
      <c r="H2704" s="7" t="s">
        <v>7313</v>
      </c>
      <c r="I2704" s="9">
        <v>45313</v>
      </c>
    </row>
    <row r="2705" spans="1:9" x14ac:dyDescent="0.15">
      <c r="A2705" s="6">
        <v>2704</v>
      </c>
      <c r="B2705" s="7" t="s">
        <v>9</v>
      </c>
      <c r="C2705" s="8">
        <v>1883</v>
      </c>
      <c r="D2705" s="9">
        <v>45395</v>
      </c>
      <c r="E2705" s="13" t="str">
        <f>+HYPERLINK("http://trademark.i-assist.jp/data/china/image_1883th/76527586.pdf","76527586")</f>
        <v>76527586</v>
      </c>
      <c r="F2705" s="7" t="s">
        <v>7314</v>
      </c>
      <c r="G2705" s="7" t="s">
        <v>7315</v>
      </c>
      <c r="H2705" s="7" t="s">
        <v>7316</v>
      </c>
      <c r="I2705" s="9">
        <v>45313</v>
      </c>
    </row>
    <row r="2706" spans="1:9" x14ac:dyDescent="0.15">
      <c r="A2706" s="6">
        <v>2705</v>
      </c>
      <c r="B2706" s="7" t="s">
        <v>9</v>
      </c>
      <c r="C2706" s="8">
        <v>1883</v>
      </c>
      <c r="D2706" s="9">
        <v>45395</v>
      </c>
      <c r="E2706" s="13" t="str">
        <f>+HYPERLINK("http://trademark.i-assist.jp/data/china/image_1883th/76527651.pdf","76527651")</f>
        <v>76527651</v>
      </c>
      <c r="F2706" s="7" t="s">
        <v>7317</v>
      </c>
      <c r="G2706" s="7" t="s">
        <v>7318</v>
      </c>
      <c r="H2706" s="7" t="s">
        <v>7319</v>
      </c>
      <c r="I2706" s="9">
        <v>45313</v>
      </c>
    </row>
    <row r="2707" spans="1:9" x14ac:dyDescent="0.15">
      <c r="A2707" s="6">
        <v>2706</v>
      </c>
      <c r="B2707" s="7" t="s">
        <v>9</v>
      </c>
      <c r="C2707" s="8">
        <v>1883</v>
      </c>
      <c r="D2707" s="9">
        <v>45395</v>
      </c>
      <c r="E2707" s="13" t="str">
        <f>+HYPERLINK("http://trademark.i-assist.jp/data/china/image_1883th/76527686.pdf","76527686")</f>
        <v>76527686</v>
      </c>
      <c r="F2707" s="7" t="s">
        <v>7320</v>
      </c>
      <c r="G2707" s="7" t="s">
        <v>7321</v>
      </c>
      <c r="H2707" s="7" t="s">
        <v>7322</v>
      </c>
      <c r="I2707" s="9">
        <v>45313</v>
      </c>
    </row>
    <row r="2708" spans="1:9" x14ac:dyDescent="0.15">
      <c r="A2708" s="6">
        <v>2707</v>
      </c>
      <c r="B2708" s="7" t="s">
        <v>9</v>
      </c>
      <c r="C2708" s="8">
        <v>1883</v>
      </c>
      <c r="D2708" s="9">
        <v>45395</v>
      </c>
      <c r="E2708" s="13" t="str">
        <f>+HYPERLINK("http://trademark.i-assist.jp/data/china/image_1883th/76527926.pdf","76527926")</f>
        <v>76527926</v>
      </c>
      <c r="F2708" s="7" t="s">
        <v>7323</v>
      </c>
      <c r="G2708" s="7" t="s">
        <v>7324</v>
      </c>
      <c r="H2708" s="7" t="s">
        <v>7325</v>
      </c>
      <c r="I2708" s="9">
        <v>45313</v>
      </c>
    </row>
    <row r="2709" spans="1:9" ht="27" x14ac:dyDescent="0.15">
      <c r="A2709" s="6">
        <v>2708</v>
      </c>
      <c r="B2709" s="7" t="s">
        <v>9</v>
      </c>
      <c r="C2709" s="8">
        <v>1883</v>
      </c>
      <c r="D2709" s="9">
        <v>45395</v>
      </c>
      <c r="E2709" s="13" t="str">
        <f>+HYPERLINK("http://trademark.i-assist.jp/data/china/image_1883th/76527979.pdf","76527979")</f>
        <v>76527979</v>
      </c>
      <c r="F2709" s="7" t="s">
        <v>7326</v>
      </c>
      <c r="G2709" s="7" t="s">
        <v>7327</v>
      </c>
      <c r="H2709" s="7" t="s">
        <v>7328</v>
      </c>
      <c r="I2709" s="9">
        <v>45313</v>
      </c>
    </row>
    <row r="2710" spans="1:9" x14ac:dyDescent="0.15">
      <c r="A2710" s="6">
        <v>2709</v>
      </c>
      <c r="B2710" s="7" t="s">
        <v>9</v>
      </c>
      <c r="C2710" s="8">
        <v>1883</v>
      </c>
      <c r="D2710" s="9">
        <v>45395</v>
      </c>
      <c r="E2710" s="13" t="str">
        <f>+HYPERLINK("http://trademark.i-assist.jp/data/china/image_1883th/76528083.pdf","76528083")</f>
        <v>76528083</v>
      </c>
      <c r="F2710" s="7" t="s">
        <v>7329</v>
      </c>
      <c r="G2710" s="7" t="s">
        <v>7330</v>
      </c>
      <c r="H2710" s="7" t="s">
        <v>7331</v>
      </c>
      <c r="I2710" s="9">
        <v>45313</v>
      </c>
    </row>
    <row r="2711" spans="1:9" x14ac:dyDescent="0.15">
      <c r="A2711" s="6">
        <v>2710</v>
      </c>
      <c r="B2711" s="7" t="s">
        <v>9</v>
      </c>
      <c r="C2711" s="8">
        <v>1883</v>
      </c>
      <c r="D2711" s="9">
        <v>45395</v>
      </c>
      <c r="E2711" s="13" t="str">
        <f>+HYPERLINK("http://trademark.i-assist.jp/data/china/image_1883th/76528135.pdf","76528135")</f>
        <v>76528135</v>
      </c>
      <c r="F2711" s="7" t="s">
        <v>57</v>
      </c>
      <c r="G2711" s="7" t="s">
        <v>7332</v>
      </c>
      <c r="H2711" s="7" t="s">
        <v>7333</v>
      </c>
      <c r="I2711" s="9">
        <v>45313</v>
      </c>
    </row>
    <row r="2712" spans="1:9" x14ac:dyDescent="0.15">
      <c r="A2712" s="6">
        <v>2711</v>
      </c>
      <c r="B2712" s="7" t="s">
        <v>9</v>
      </c>
      <c r="C2712" s="8">
        <v>1883</v>
      </c>
      <c r="D2712" s="9">
        <v>45395</v>
      </c>
      <c r="E2712" s="13" t="str">
        <f>+HYPERLINK("http://trademark.i-assist.jp/data/china/image_1883th/76528158.pdf","76528158")</f>
        <v>76528158</v>
      </c>
      <c r="F2712" s="7" t="s">
        <v>7334</v>
      </c>
      <c r="G2712" s="7" t="s">
        <v>7335</v>
      </c>
      <c r="H2712" s="7" t="s">
        <v>7336</v>
      </c>
      <c r="I2712" s="9">
        <v>45313</v>
      </c>
    </row>
    <row r="2713" spans="1:9" x14ac:dyDescent="0.15">
      <c r="A2713" s="6">
        <v>2712</v>
      </c>
      <c r="B2713" s="7" t="s">
        <v>9</v>
      </c>
      <c r="C2713" s="8">
        <v>1883</v>
      </c>
      <c r="D2713" s="9">
        <v>45395</v>
      </c>
      <c r="E2713" s="13" t="str">
        <f>+HYPERLINK("http://trademark.i-assist.jp/data/china/image_1883th/76528261.pdf","76528261")</f>
        <v>76528261</v>
      </c>
      <c r="F2713" s="7" t="s">
        <v>7337</v>
      </c>
      <c r="G2713" s="7" t="s">
        <v>7338</v>
      </c>
      <c r="H2713" s="7" t="s">
        <v>7339</v>
      </c>
      <c r="I2713" s="9">
        <v>45313</v>
      </c>
    </row>
    <row r="2714" spans="1:9" ht="27" x14ac:dyDescent="0.15">
      <c r="A2714" s="6">
        <v>2713</v>
      </c>
      <c r="B2714" s="7" t="s">
        <v>9</v>
      </c>
      <c r="C2714" s="8">
        <v>1883</v>
      </c>
      <c r="D2714" s="9">
        <v>45395</v>
      </c>
      <c r="E2714" s="13" t="str">
        <f>+HYPERLINK("http://trademark.i-assist.jp/data/china/image_1883th/76528438.pdf","76528438")</f>
        <v>76528438</v>
      </c>
      <c r="F2714" s="7" t="s">
        <v>7340</v>
      </c>
      <c r="G2714" s="7" t="s">
        <v>7244</v>
      </c>
      <c r="H2714" s="7" t="s">
        <v>7245</v>
      </c>
      <c r="I2714" s="9">
        <v>45313</v>
      </c>
    </row>
    <row r="2715" spans="1:9" ht="27" x14ac:dyDescent="0.15">
      <c r="A2715" s="6">
        <v>2714</v>
      </c>
      <c r="B2715" s="7" t="s">
        <v>9</v>
      </c>
      <c r="C2715" s="8">
        <v>1883</v>
      </c>
      <c r="D2715" s="9">
        <v>45395</v>
      </c>
      <c r="E2715" s="13" t="str">
        <f>+HYPERLINK("http://trademark.i-assist.jp/data/china/image_1883th/76528796.pdf","76528796")</f>
        <v>76528796</v>
      </c>
      <c r="F2715" s="7" t="s">
        <v>7341</v>
      </c>
      <c r="G2715" s="7" t="s">
        <v>7244</v>
      </c>
      <c r="H2715" s="7" t="s">
        <v>7245</v>
      </c>
      <c r="I2715" s="9">
        <v>45313</v>
      </c>
    </row>
    <row r="2716" spans="1:9" x14ac:dyDescent="0.15">
      <c r="A2716" s="6">
        <v>2715</v>
      </c>
      <c r="B2716" s="7" t="s">
        <v>9</v>
      </c>
      <c r="C2716" s="8">
        <v>1883</v>
      </c>
      <c r="D2716" s="9">
        <v>45395</v>
      </c>
      <c r="E2716" s="13" t="str">
        <f>+HYPERLINK("http://trademark.i-assist.jp/data/china/image_1883th/76528938.pdf","76528938")</f>
        <v>76528938</v>
      </c>
      <c r="F2716" s="7" t="s">
        <v>7342</v>
      </c>
      <c r="G2716" s="7" t="s">
        <v>7343</v>
      </c>
      <c r="H2716" s="7" t="s">
        <v>7344</v>
      </c>
      <c r="I2716" s="9">
        <v>45313</v>
      </c>
    </row>
    <row r="2717" spans="1:9" x14ac:dyDescent="0.15">
      <c r="A2717" s="6">
        <v>2716</v>
      </c>
      <c r="B2717" s="7" t="s">
        <v>9</v>
      </c>
      <c r="C2717" s="8">
        <v>1883</v>
      </c>
      <c r="D2717" s="9">
        <v>45395</v>
      </c>
      <c r="E2717" s="13" t="str">
        <f>+HYPERLINK("http://trademark.i-assist.jp/data/china/image_1883th/76528971.pdf","76528971")</f>
        <v>76528971</v>
      </c>
      <c r="F2717" s="7" t="s">
        <v>7345</v>
      </c>
      <c r="G2717" s="7" t="s">
        <v>7346</v>
      </c>
      <c r="H2717" s="7" t="s">
        <v>7347</v>
      </c>
      <c r="I2717" s="9">
        <v>45313</v>
      </c>
    </row>
    <row r="2718" spans="1:9" x14ac:dyDescent="0.15">
      <c r="A2718" s="6">
        <v>2717</v>
      </c>
      <c r="B2718" s="7" t="s">
        <v>9</v>
      </c>
      <c r="C2718" s="8">
        <v>1883</v>
      </c>
      <c r="D2718" s="9">
        <v>45395</v>
      </c>
      <c r="E2718" s="13" t="str">
        <f>+HYPERLINK("http://trademark.i-assist.jp/data/china/image_1883th/76529003.pdf","76529003")</f>
        <v>76529003</v>
      </c>
      <c r="F2718" s="7" t="s">
        <v>7348</v>
      </c>
      <c r="G2718" s="7" t="s">
        <v>7229</v>
      </c>
      <c r="H2718" s="7" t="s">
        <v>7230</v>
      </c>
      <c r="I2718" s="9">
        <v>45313</v>
      </c>
    </row>
    <row r="2719" spans="1:9" x14ac:dyDescent="0.15">
      <c r="A2719" s="6">
        <v>2718</v>
      </c>
      <c r="B2719" s="7" t="s">
        <v>9</v>
      </c>
      <c r="C2719" s="8">
        <v>1883</v>
      </c>
      <c r="D2719" s="9">
        <v>45395</v>
      </c>
      <c r="E2719" s="13" t="str">
        <f>+HYPERLINK("http://trademark.i-assist.jp/data/china/image_1883th/76529129.pdf","76529129")</f>
        <v>76529129</v>
      </c>
      <c r="F2719" s="7" t="s">
        <v>7349</v>
      </c>
      <c r="G2719" s="7" t="s">
        <v>7350</v>
      </c>
      <c r="H2719" s="7" t="s">
        <v>7351</v>
      </c>
      <c r="I2719" s="9">
        <v>45313</v>
      </c>
    </row>
    <row r="2720" spans="1:9" x14ac:dyDescent="0.15">
      <c r="A2720" s="6">
        <v>2719</v>
      </c>
      <c r="B2720" s="7" t="s">
        <v>9</v>
      </c>
      <c r="C2720" s="8">
        <v>1883</v>
      </c>
      <c r="D2720" s="9">
        <v>45395</v>
      </c>
      <c r="E2720" s="13" t="str">
        <f>+HYPERLINK("http://trademark.i-assist.jp/data/china/image_1883th/76529448.pdf","76529448")</f>
        <v>76529448</v>
      </c>
      <c r="F2720" s="7" t="s">
        <v>7352</v>
      </c>
      <c r="G2720" s="7" t="s">
        <v>7353</v>
      </c>
      <c r="H2720" s="7" t="s">
        <v>7354</v>
      </c>
      <c r="I2720" s="9">
        <v>45313</v>
      </c>
    </row>
    <row r="2721" spans="1:9" x14ac:dyDescent="0.15">
      <c r="A2721" s="6">
        <v>2720</v>
      </c>
      <c r="B2721" s="7" t="s">
        <v>9</v>
      </c>
      <c r="C2721" s="8">
        <v>1883</v>
      </c>
      <c r="D2721" s="9">
        <v>45395</v>
      </c>
      <c r="E2721" s="13" t="str">
        <f>+HYPERLINK("http://trademark.i-assist.jp/data/china/image_1883th/76529658.pdf","76529658")</f>
        <v>76529658</v>
      </c>
      <c r="F2721" s="7" t="s">
        <v>7355</v>
      </c>
      <c r="G2721" s="7" t="s">
        <v>7356</v>
      </c>
      <c r="H2721" s="7" t="s">
        <v>7357</v>
      </c>
      <c r="I2721" s="9">
        <v>45313</v>
      </c>
    </row>
    <row r="2722" spans="1:9" x14ac:dyDescent="0.15">
      <c r="A2722" s="6">
        <v>2721</v>
      </c>
      <c r="B2722" s="7" t="s">
        <v>9</v>
      </c>
      <c r="C2722" s="8">
        <v>1883</v>
      </c>
      <c r="D2722" s="9">
        <v>45395</v>
      </c>
      <c r="E2722" s="13" t="str">
        <f>+HYPERLINK("http://trademark.i-assist.jp/data/china/image_1883th/76529747.pdf","76529747")</f>
        <v>76529747</v>
      </c>
      <c r="F2722" s="7" t="s">
        <v>7358</v>
      </c>
      <c r="G2722" s="7" t="s">
        <v>7359</v>
      </c>
      <c r="H2722" s="7" t="s">
        <v>7360</v>
      </c>
      <c r="I2722" s="9">
        <v>45313</v>
      </c>
    </row>
    <row r="2723" spans="1:9" ht="27" x14ac:dyDescent="0.15">
      <c r="A2723" s="6">
        <v>2722</v>
      </c>
      <c r="B2723" s="7" t="s">
        <v>9</v>
      </c>
      <c r="C2723" s="8">
        <v>1883</v>
      </c>
      <c r="D2723" s="9">
        <v>45395</v>
      </c>
      <c r="E2723" s="13" t="str">
        <f>+HYPERLINK("http://trademark.i-assist.jp/data/china/image_1883th/76529940.pdf","76529940")</f>
        <v>76529940</v>
      </c>
      <c r="F2723" s="7" t="s">
        <v>7361</v>
      </c>
      <c r="G2723" s="7" t="s">
        <v>7244</v>
      </c>
      <c r="H2723" s="7" t="s">
        <v>7245</v>
      </c>
      <c r="I2723" s="9">
        <v>45313</v>
      </c>
    </row>
    <row r="2724" spans="1:9" x14ac:dyDescent="0.15">
      <c r="A2724" s="6">
        <v>2723</v>
      </c>
      <c r="B2724" s="7" t="s">
        <v>9</v>
      </c>
      <c r="C2724" s="8">
        <v>1883</v>
      </c>
      <c r="D2724" s="9">
        <v>45395</v>
      </c>
      <c r="E2724" s="13" t="str">
        <f>+HYPERLINK("http://trademark.i-assist.jp/data/china/image_1883th/76530000.pdf","76530000")</f>
        <v>76530000</v>
      </c>
      <c r="F2724" s="7" t="s">
        <v>7362</v>
      </c>
      <c r="G2724" s="7" t="s">
        <v>7363</v>
      </c>
      <c r="H2724" s="7" t="s">
        <v>7364</v>
      </c>
      <c r="I2724" s="9">
        <v>45313</v>
      </c>
    </row>
    <row r="2725" spans="1:9" x14ac:dyDescent="0.15">
      <c r="A2725" s="6">
        <v>2724</v>
      </c>
      <c r="B2725" s="7" t="s">
        <v>9</v>
      </c>
      <c r="C2725" s="8">
        <v>1883</v>
      </c>
      <c r="D2725" s="9">
        <v>45395</v>
      </c>
      <c r="E2725" s="13" t="str">
        <f>+HYPERLINK("http://trademark.i-assist.jp/data/china/image_1883th/76530177.pdf","76530177")</f>
        <v>76530177</v>
      </c>
      <c r="F2725" s="7" t="s">
        <v>7365</v>
      </c>
      <c r="G2725" s="7" t="s">
        <v>7321</v>
      </c>
      <c r="H2725" s="7" t="s">
        <v>7366</v>
      </c>
      <c r="I2725" s="9">
        <v>45313</v>
      </c>
    </row>
  </sheetData>
  <autoFilter ref="A1:I1" xr:uid="{0DE98445-1951-4E75-A56B-9C58B7DED9D1}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1883th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IA-99</cp:lastModifiedBy>
  <dcterms:created xsi:type="dcterms:W3CDTF">2018-08-31T07:51:48Z</dcterms:created>
  <dcterms:modified xsi:type="dcterms:W3CDTF">2024-12-04T07:00:43Z</dcterms:modified>
</cp:coreProperties>
</file>