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xr:revisionPtr revIDLastSave="0" documentId="13_ncr:1_{B39948B7-4716-4130-B8DF-A6EF60E82EFB}" xr6:coauthVersionLast="47" xr6:coauthVersionMax="47" xr10:uidLastSave="{00000000-0000-0000-0000-000000000000}"/>
  <bookViews>
    <workbookView xWindow="2730" yWindow="1950" windowWidth="24555" windowHeight="14250" xr2:uid="{00000000-000D-0000-FFFF-FFFF00000000}"/>
  </bookViews>
  <sheets>
    <sheet name="1882th" sheetId="2" r:id="rId1"/>
  </sheets>
  <calcPr calcId="191029"/>
</workbook>
</file>

<file path=xl/calcChain.xml><?xml version="1.0" encoding="utf-8"?>
<calcChain xmlns="http://schemas.openxmlformats.org/spreadsheetml/2006/main">
  <c r="E2" i="2" l="1"/>
  <c r="E3" i="2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96" i="2"/>
  <c r="E297" i="2"/>
  <c r="E298" i="2"/>
  <c r="E299" i="2"/>
  <c r="E300" i="2"/>
  <c r="E301" i="2"/>
  <c r="E302" i="2"/>
  <c r="E303" i="2"/>
  <c r="E304" i="2"/>
  <c r="E305" i="2"/>
  <c r="E306" i="2"/>
  <c r="E307" i="2"/>
  <c r="E308" i="2"/>
  <c r="E309" i="2"/>
  <c r="E310" i="2"/>
  <c r="E311" i="2"/>
  <c r="E312" i="2"/>
  <c r="E313" i="2"/>
  <c r="E314" i="2"/>
  <c r="E315" i="2"/>
  <c r="E316" i="2"/>
  <c r="E317" i="2"/>
  <c r="E318" i="2"/>
  <c r="E319" i="2"/>
  <c r="E320" i="2"/>
  <c r="E321" i="2"/>
  <c r="E322" i="2"/>
  <c r="E323" i="2"/>
  <c r="E324" i="2"/>
  <c r="E325" i="2"/>
  <c r="E326" i="2"/>
  <c r="E327" i="2"/>
  <c r="E328" i="2"/>
  <c r="E329" i="2"/>
  <c r="E330" i="2"/>
  <c r="E331" i="2"/>
  <c r="E332" i="2"/>
  <c r="E333" i="2"/>
  <c r="E334" i="2"/>
  <c r="E335" i="2"/>
  <c r="E336" i="2"/>
  <c r="E337" i="2"/>
  <c r="E338" i="2"/>
  <c r="E339" i="2"/>
  <c r="E340" i="2"/>
  <c r="E341" i="2"/>
  <c r="E342" i="2"/>
  <c r="E343" i="2"/>
  <c r="E344" i="2"/>
  <c r="E345" i="2"/>
  <c r="E346" i="2"/>
  <c r="E347" i="2"/>
  <c r="E348" i="2"/>
  <c r="E349" i="2"/>
  <c r="E350" i="2"/>
  <c r="E351" i="2"/>
  <c r="E352" i="2"/>
  <c r="E353" i="2"/>
  <c r="E354" i="2"/>
  <c r="E355" i="2"/>
  <c r="E356" i="2"/>
  <c r="E357" i="2"/>
  <c r="E358" i="2"/>
  <c r="E359" i="2"/>
  <c r="E360" i="2"/>
  <c r="E361" i="2"/>
  <c r="E362" i="2"/>
  <c r="E363" i="2"/>
  <c r="E364" i="2"/>
  <c r="E365" i="2"/>
  <c r="E366" i="2"/>
  <c r="E367" i="2"/>
  <c r="E368" i="2"/>
  <c r="E369" i="2"/>
  <c r="E370" i="2"/>
  <c r="E371" i="2"/>
  <c r="E372" i="2"/>
  <c r="E373" i="2"/>
  <c r="E374" i="2"/>
  <c r="E375" i="2"/>
  <c r="E376" i="2"/>
  <c r="E377" i="2"/>
  <c r="E378" i="2"/>
  <c r="E379" i="2"/>
  <c r="E380" i="2"/>
  <c r="E381" i="2"/>
  <c r="E382" i="2"/>
  <c r="E383" i="2"/>
  <c r="E384" i="2"/>
  <c r="E385" i="2"/>
  <c r="E386" i="2"/>
  <c r="E387" i="2"/>
  <c r="E388" i="2"/>
  <c r="E389" i="2"/>
  <c r="E390" i="2"/>
  <c r="E391" i="2"/>
  <c r="E392" i="2"/>
  <c r="E393" i="2"/>
  <c r="E394" i="2"/>
  <c r="E395" i="2"/>
  <c r="E396" i="2"/>
  <c r="E397" i="2"/>
  <c r="E398" i="2"/>
  <c r="E399" i="2"/>
  <c r="E400" i="2"/>
  <c r="E401" i="2"/>
  <c r="E402" i="2"/>
  <c r="E403" i="2"/>
  <c r="E404" i="2"/>
  <c r="E405" i="2"/>
  <c r="E406" i="2"/>
  <c r="E407" i="2"/>
  <c r="E408" i="2"/>
  <c r="E409" i="2"/>
  <c r="E410" i="2"/>
  <c r="E411" i="2"/>
  <c r="E412" i="2"/>
  <c r="E413" i="2"/>
  <c r="E414" i="2"/>
  <c r="E415" i="2"/>
  <c r="E416" i="2"/>
  <c r="E417" i="2"/>
  <c r="E418" i="2"/>
  <c r="E419" i="2"/>
  <c r="E420" i="2"/>
  <c r="E421" i="2"/>
  <c r="E422" i="2"/>
  <c r="E423" i="2"/>
  <c r="E424" i="2"/>
  <c r="E425" i="2"/>
  <c r="E426" i="2"/>
  <c r="E427" i="2"/>
  <c r="E428" i="2"/>
  <c r="E429" i="2"/>
  <c r="E430" i="2"/>
  <c r="E431" i="2"/>
  <c r="E432" i="2"/>
  <c r="E433" i="2"/>
  <c r="E434" i="2"/>
  <c r="E435" i="2"/>
  <c r="E436" i="2"/>
  <c r="E437" i="2"/>
  <c r="E438" i="2"/>
  <c r="E439" i="2"/>
  <c r="E440" i="2"/>
  <c r="E441" i="2"/>
  <c r="E442" i="2"/>
  <c r="E443" i="2"/>
  <c r="E444" i="2"/>
  <c r="E445" i="2"/>
  <c r="E446" i="2"/>
  <c r="E447" i="2"/>
  <c r="E448" i="2"/>
  <c r="E449" i="2"/>
  <c r="E450" i="2"/>
  <c r="E451" i="2"/>
  <c r="E452" i="2"/>
  <c r="E453" i="2"/>
  <c r="E454" i="2"/>
  <c r="E455" i="2"/>
  <c r="E456" i="2"/>
  <c r="E457" i="2"/>
  <c r="E458" i="2"/>
  <c r="E459" i="2"/>
  <c r="E460" i="2"/>
  <c r="E461" i="2"/>
  <c r="E462" i="2"/>
  <c r="E463" i="2"/>
  <c r="E464" i="2"/>
  <c r="E465" i="2"/>
  <c r="E466" i="2"/>
  <c r="E467" i="2"/>
  <c r="E468" i="2"/>
  <c r="E469" i="2"/>
  <c r="E470" i="2"/>
  <c r="E471" i="2"/>
  <c r="E472" i="2"/>
  <c r="E473" i="2"/>
  <c r="E474" i="2"/>
  <c r="E475" i="2"/>
  <c r="E476" i="2"/>
  <c r="E477" i="2"/>
  <c r="E478" i="2"/>
  <c r="E479" i="2"/>
  <c r="E480" i="2"/>
  <c r="E481" i="2"/>
  <c r="E482" i="2"/>
  <c r="E483" i="2"/>
  <c r="E484" i="2"/>
  <c r="E485" i="2"/>
  <c r="E486" i="2"/>
  <c r="E487" i="2"/>
  <c r="E488" i="2"/>
  <c r="E489" i="2"/>
  <c r="E490" i="2"/>
  <c r="E491" i="2"/>
  <c r="E492" i="2"/>
  <c r="E493" i="2"/>
  <c r="E494" i="2"/>
  <c r="E495" i="2"/>
  <c r="E496" i="2"/>
  <c r="E497" i="2"/>
  <c r="E498" i="2"/>
  <c r="E499" i="2"/>
  <c r="E500" i="2"/>
  <c r="E501" i="2"/>
  <c r="E502" i="2"/>
  <c r="E503" i="2"/>
  <c r="E504" i="2"/>
  <c r="E505" i="2"/>
  <c r="E506" i="2"/>
  <c r="E507" i="2"/>
  <c r="E508" i="2"/>
  <c r="E509" i="2"/>
  <c r="E510" i="2"/>
  <c r="E511" i="2"/>
  <c r="E512" i="2"/>
  <c r="E513" i="2"/>
  <c r="E514" i="2"/>
  <c r="E515" i="2"/>
  <c r="E516" i="2"/>
  <c r="E517" i="2"/>
  <c r="E518" i="2"/>
  <c r="E519" i="2"/>
  <c r="E520" i="2"/>
  <c r="E521" i="2"/>
  <c r="E522" i="2"/>
  <c r="E523" i="2"/>
  <c r="E524" i="2"/>
  <c r="E525" i="2"/>
  <c r="E526" i="2"/>
  <c r="E527" i="2"/>
  <c r="E528" i="2"/>
  <c r="E529" i="2"/>
  <c r="E530" i="2"/>
  <c r="E531" i="2"/>
  <c r="E532" i="2"/>
  <c r="E533" i="2"/>
  <c r="E534" i="2"/>
  <c r="E535" i="2"/>
  <c r="E536" i="2"/>
  <c r="E537" i="2"/>
  <c r="E538" i="2"/>
  <c r="E539" i="2"/>
  <c r="E540" i="2"/>
  <c r="E541" i="2"/>
  <c r="E542" i="2"/>
  <c r="E543" i="2"/>
  <c r="E544" i="2"/>
  <c r="E545" i="2"/>
  <c r="E546" i="2"/>
  <c r="E547" i="2"/>
  <c r="E548" i="2"/>
  <c r="E549" i="2"/>
  <c r="E550" i="2"/>
  <c r="E551" i="2"/>
  <c r="E552" i="2"/>
  <c r="E553" i="2"/>
  <c r="E554" i="2"/>
  <c r="E555" i="2"/>
  <c r="E556" i="2"/>
  <c r="E557" i="2"/>
  <c r="E558" i="2"/>
  <c r="E559" i="2"/>
  <c r="E560" i="2"/>
  <c r="E561" i="2"/>
  <c r="E562" i="2"/>
  <c r="E563" i="2"/>
  <c r="E564" i="2"/>
  <c r="E565" i="2"/>
  <c r="E566" i="2"/>
  <c r="E567" i="2"/>
  <c r="E568" i="2"/>
  <c r="E569" i="2"/>
  <c r="E570" i="2"/>
  <c r="E571" i="2"/>
  <c r="E572" i="2"/>
  <c r="E573" i="2"/>
  <c r="E574" i="2"/>
  <c r="E575" i="2"/>
  <c r="E576" i="2"/>
  <c r="E577" i="2"/>
  <c r="E578" i="2"/>
  <c r="E579" i="2"/>
  <c r="E580" i="2"/>
  <c r="E581" i="2"/>
  <c r="E582" i="2"/>
  <c r="E583" i="2"/>
  <c r="E584" i="2"/>
  <c r="E585" i="2"/>
  <c r="E586" i="2"/>
  <c r="E587" i="2"/>
  <c r="E588" i="2"/>
  <c r="E589" i="2"/>
  <c r="E590" i="2"/>
  <c r="E591" i="2"/>
  <c r="E592" i="2"/>
  <c r="E593" i="2"/>
  <c r="E594" i="2"/>
  <c r="E595" i="2"/>
  <c r="E596" i="2"/>
  <c r="E597" i="2"/>
  <c r="E598" i="2"/>
  <c r="E599" i="2"/>
  <c r="E600" i="2"/>
  <c r="E601" i="2"/>
  <c r="E602" i="2"/>
  <c r="E603" i="2"/>
  <c r="E604" i="2"/>
  <c r="E605" i="2"/>
  <c r="E606" i="2"/>
  <c r="E607" i="2"/>
  <c r="E608" i="2"/>
  <c r="E609" i="2"/>
  <c r="E610" i="2"/>
  <c r="E611" i="2"/>
  <c r="E612" i="2"/>
  <c r="E613" i="2"/>
  <c r="E614" i="2"/>
  <c r="E615" i="2"/>
  <c r="E616" i="2"/>
  <c r="E617" i="2"/>
  <c r="E618" i="2"/>
  <c r="E619" i="2"/>
  <c r="E620" i="2"/>
  <c r="E621" i="2"/>
  <c r="E622" i="2"/>
  <c r="E623" i="2"/>
  <c r="E624" i="2"/>
  <c r="E625" i="2"/>
  <c r="E626" i="2"/>
  <c r="E627" i="2"/>
  <c r="E628" i="2"/>
  <c r="E629" i="2"/>
  <c r="E630" i="2"/>
  <c r="E631" i="2"/>
  <c r="E632" i="2"/>
  <c r="E633" i="2"/>
  <c r="E634" i="2"/>
  <c r="E635" i="2"/>
  <c r="E636" i="2"/>
  <c r="E637" i="2"/>
  <c r="E638" i="2"/>
  <c r="E639" i="2"/>
  <c r="E640" i="2"/>
  <c r="E641" i="2"/>
  <c r="E642" i="2"/>
  <c r="E643" i="2"/>
  <c r="E644" i="2"/>
  <c r="E645" i="2"/>
  <c r="E646" i="2"/>
  <c r="E647" i="2"/>
  <c r="E648" i="2"/>
  <c r="E649" i="2"/>
  <c r="E650" i="2"/>
  <c r="E651" i="2"/>
  <c r="E652" i="2"/>
  <c r="E653" i="2"/>
  <c r="E654" i="2"/>
  <c r="E655" i="2"/>
  <c r="E656" i="2"/>
  <c r="E657" i="2"/>
  <c r="E658" i="2"/>
  <c r="E659" i="2"/>
  <c r="E660" i="2"/>
  <c r="E661" i="2"/>
  <c r="E662" i="2"/>
  <c r="E663" i="2"/>
  <c r="E664" i="2"/>
  <c r="E665" i="2"/>
  <c r="E666" i="2"/>
  <c r="E667" i="2"/>
  <c r="E668" i="2"/>
  <c r="E669" i="2"/>
  <c r="E670" i="2"/>
  <c r="E671" i="2"/>
  <c r="E672" i="2"/>
  <c r="E673" i="2"/>
  <c r="E674" i="2"/>
  <c r="E675" i="2"/>
  <c r="E676" i="2"/>
  <c r="E677" i="2"/>
  <c r="E678" i="2"/>
  <c r="E679" i="2"/>
  <c r="E680" i="2"/>
  <c r="E681" i="2"/>
  <c r="E682" i="2"/>
  <c r="E683" i="2"/>
  <c r="E684" i="2"/>
  <c r="E685" i="2"/>
  <c r="E686" i="2"/>
  <c r="E687" i="2"/>
  <c r="E688" i="2"/>
  <c r="E689" i="2"/>
  <c r="E690" i="2"/>
  <c r="E691" i="2"/>
  <c r="E692" i="2"/>
  <c r="E693" i="2"/>
  <c r="E694" i="2"/>
  <c r="E695" i="2"/>
  <c r="E696" i="2"/>
  <c r="E697" i="2"/>
  <c r="E698" i="2"/>
  <c r="E699" i="2"/>
  <c r="E700" i="2"/>
  <c r="E701" i="2"/>
  <c r="E702" i="2"/>
  <c r="E703" i="2"/>
  <c r="E704" i="2"/>
  <c r="E705" i="2"/>
  <c r="E706" i="2"/>
  <c r="E707" i="2"/>
  <c r="E708" i="2"/>
  <c r="E709" i="2"/>
  <c r="E710" i="2"/>
  <c r="E711" i="2"/>
  <c r="E712" i="2"/>
  <c r="E713" i="2"/>
  <c r="E714" i="2"/>
  <c r="E715" i="2"/>
  <c r="E716" i="2"/>
  <c r="E717" i="2"/>
  <c r="E718" i="2"/>
  <c r="E719" i="2"/>
  <c r="E720" i="2"/>
  <c r="E721" i="2"/>
  <c r="E722" i="2"/>
  <c r="E723" i="2"/>
  <c r="E724" i="2"/>
  <c r="E725" i="2"/>
  <c r="E726" i="2"/>
  <c r="E727" i="2"/>
  <c r="E728" i="2"/>
  <c r="E729" i="2"/>
  <c r="E730" i="2"/>
  <c r="E731" i="2"/>
  <c r="E732" i="2"/>
  <c r="E733" i="2"/>
  <c r="E734" i="2"/>
  <c r="E735" i="2"/>
  <c r="E736" i="2"/>
  <c r="E737" i="2"/>
  <c r="E738" i="2"/>
  <c r="E739" i="2"/>
  <c r="E740" i="2"/>
  <c r="E741" i="2"/>
  <c r="E742" i="2"/>
  <c r="E743" i="2"/>
  <c r="E744" i="2"/>
  <c r="E745" i="2"/>
  <c r="E746" i="2"/>
  <c r="E747" i="2"/>
  <c r="E748" i="2"/>
  <c r="E749" i="2"/>
  <c r="E750" i="2"/>
  <c r="E751" i="2"/>
  <c r="E752" i="2"/>
  <c r="E753" i="2"/>
  <c r="E754" i="2"/>
  <c r="E755" i="2"/>
  <c r="E756" i="2"/>
  <c r="E757" i="2"/>
  <c r="E758" i="2"/>
  <c r="E759" i="2"/>
  <c r="E760" i="2"/>
  <c r="E761" i="2"/>
  <c r="E762" i="2"/>
  <c r="E763" i="2"/>
  <c r="E764" i="2"/>
  <c r="E765" i="2"/>
  <c r="E766" i="2"/>
  <c r="E767" i="2"/>
  <c r="E768" i="2"/>
  <c r="E769" i="2"/>
  <c r="E770" i="2"/>
  <c r="E771" i="2"/>
  <c r="E772" i="2"/>
  <c r="E773" i="2"/>
  <c r="E774" i="2"/>
  <c r="E775" i="2"/>
  <c r="E776" i="2"/>
  <c r="E777" i="2"/>
  <c r="E778" i="2"/>
  <c r="E779" i="2"/>
  <c r="E780" i="2"/>
  <c r="E781" i="2"/>
  <c r="E782" i="2"/>
  <c r="E783" i="2"/>
  <c r="E784" i="2"/>
  <c r="E785" i="2"/>
  <c r="E786" i="2"/>
  <c r="E787" i="2"/>
  <c r="E788" i="2"/>
  <c r="E789" i="2"/>
  <c r="E790" i="2"/>
  <c r="E791" i="2"/>
  <c r="E792" i="2"/>
  <c r="E793" i="2"/>
  <c r="E794" i="2"/>
  <c r="E795" i="2"/>
  <c r="E796" i="2"/>
  <c r="E797" i="2"/>
  <c r="E798" i="2"/>
  <c r="E799" i="2"/>
  <c r="E800" i="2"/>
  <c r="E801" i="2"/>
  <c r="E802" i="2"/>
  <c r="E803" i="2"/>
  <c r="E804" i="2"/>
  <c r="E805" i="2"/>
  <c r="E806" i="2"/>
  <c r="E807" i="2"/>
  <c r="E808" i="2"/>
  <c r="E809" i="2"/>
  <c r="E810" i="2"/>
  <c r="E811" i="2"/>
  <c r="E812" i="2"/>
  <c r="E813" i="2"/>
  <c r="E814" i="2"/>
  <c r="E815" i="2"/>
  <c r="E816" i="2"/>
  <c r="E817" i="2"/>
  <c r="E818" i="2"/>
  <c r="E819" i="2"/>
  <c r="E820" i="2"/>
  <c r="E821" i="2"/>
  <c r="E822" i="2"/>
  <c r="E823" i="2"/>
  <c r="E824" i="2"/>
  <c r="E825" i="2"/>
  <c r="E826" i="2"/>
  <c r="E827" i="2"/>
  <c r="E828" i="2"/>
  <c r="E829" i="2"/>
  <c r="E830" i="2"/>
  <c r="E831" i="2"/>
  <c r="E832" i="2"/>
  <c r="E833" i="2"/>
  <c r="E834" i="2"/>
  <c r="E835" i="2"/>
  <c r="E836" i="2"/>
  <c r="E837" i="2"/>
  <c r="E838" i="2"/>
  <c r="E839" i="2"/>
  <c r="E840" i="2"/>
  <c r="E841" i="2"/>
  <c r="E842" i="2"/>
  <c r="E843" i="2"/>
  <c r="E844" i="2"/>
  <c r="E845" i="2"/>
  <c r="E846" i="2"/>
  <c r="E847" i="2"/>
  <c r="E848" i="2"/>
  <c r="E849" i="2"/>
  <c r="E850" i="2"/>
  <c r="E851" i="2"/>
  <c r="E852" i="2"/>
  <c r="E853" i="2"/>
  <c r="E854" i="2"/>
  <c r="E855" i="2"/>
  <c r="E856" i="2"/>
  <c r="E857" i="2"/>
  <c r="E858" i="2"/>
  <c r="E859" i="2"/>
  <c r="E860" i="2"/>
  <c r="E861" i="2"/>
  <c r="E862" i="2"/>
  <c r="E863" i="2"/>
  <c r="E864" i="2"/>
  <c r="E865" i="2"/>
  <c r="E866" i="2"/>
  <c r="E867" i="2"/>
  <c r="E868" i="2"/>
  <c r="E869" i="2"/>
  <c r="E870" i="2"/>
  <c r="E871" i="2"/>
  <c r="E872" i="2"/>
  <c r="E873" i="2"/>
  <c r="E874" i="2"/>
  <c r="E875" i="2"/>
  <c r="E876" i="2"/>
  <c r="E877" i="2"/>
  <c r="E878" i="2"/>
  <c r="E879" i="2"/>
  <c r="E880" i="2"/>
  <c r="E881" i="2"/>
  <c r="E882" i="2"/>
  <c r="E883" i="2"/>
  <c r="E884" i="2"/>
  <c r="E885" i="2"/>
  <c r="E886" i="2"/>
  <c r="E887" i="2"/>
  <c r="E888" i="2"/>
  <c r="E889" i="2"/>
  <c r="E890" i="2"/>
  <c r="E891" i="2"/>
  <c r="E892" i="2"/>
  <c r="E893" i="2"/>
  <c r="E894" i="2"/>
  <c r="E895" i="2"/>
  <c r="E896" i="2"/>
  <c r="E897" i="2"/>
  <c r="E898" i="2"/>
  <c r="E899" i="2"/>
  <c r="E900" i="2"/>
  <c r="E901" i="2"/>
  <c r="E902" i="2"/>
  <c r="E903" i="2"/>
  <c r="E904" i="2"/>
  <c r="E905" i="2"/>
  <c r="E906" i="2"/>
  <c r="E907" i="2"/>
  <c r="E908" i="2"/>
  <c r="E909" i="2"/>
  <c r="E910" i="2"/>
  <c r="E911" i="2"/>
  <c r="E912" i="2"/>
  <c r="E913" i="2"/>
  <c r="E914" i="2"/>
  <c r="E915" i="2"/>
  <c r="E916" i="2"/>
  <c r="E917" i="2"/>
  <c r="E918" i="2"/>
  <c r="E919" i="2"/>
  <c r="E920" i="2"/>
  <c r="E921" i="2"/>
  <c r="E922" i="2"/>
  <c r="E923" i="2"/>
  <c r="E924" i="2"/>
  <c r="E925" i="2"/>
  <c r="E926" i="2"/>
  <c r="E927" i="2"/>
  <c r="E928" i="2"/>
  <c r="E929" i="2"/>
  <c r="E930" i="2"/>
  <c r="E931" i="2"/>
  <c r="E932" i="2"/>
  <c r="E933" i="2"/>
  <c r="E934" i="2"/>
  <c r="E935" i="2"/>
  <c r="E936" i="2"/>
  <c r="E937" i="2"/>
  <c r="E938" i="2"/>
  <c r="E939" i="2"/>
  <c r="E940" i="2"/>
  <c r="E941" i="2"/>
  <c r="E942" i="2"/>
  <c r="E943" i="2"/>
  <c r="E944" i="2"/>
  <c r="E945" i="2"/>
  <c r="E946" i="2"/>
  <c r="E947" i="2"/>
  <c r="E948" i="2"/>
  <c r="E949" i="2"/>
  <c r="E950" i="2"/>
  <c r="E951" i="2"/>
  <c r="E952" i="2"/>
  <c r="E953" i="2"/>
  <c r="E954" i="2"/>
  <c r="E955" i="2"/>
  <c r="E956" i="2"/>
  <c r="E957" i="2"/>
  <c r="E958" i="2"/>
  <c r="E959" i="2"/>
  <c r="E960" i="2"/>
  <c r="E961" i="2"/>
  <c r="E962" i="2"/>
  <c r="E963" i="2"/>
  <c r="E964" i="2"/>
  <c r="E965" i="2"/>
  <c r="E966" i="2"/>
  <c r="E967" i="2"/>
  <c r="E968" i="2"/>
  <c r="E969" i="2"/>
  <c r="E970" i="2"/>
  <c r="E971" i="2"/>
  <c r="E972" i="2"/>
  <c r="E973" i="2"/>
  <c r="E974" i="2"/>
  <c r="E975" i="2"/>
  <c r="E976" i="2"/>
  <c r="E977" i="2"/>
  <c r="E978" i="2"/>
  <c r="E979" i="2"/>
  <c r="E980" i="2"/>
  <c r="E981" i="2"/>
  <c r="E982" i="2"/>
  <c r="E983" i="2"/>
  <c r="E984" i="2"/>
  <c r="E985" i="2"/>
  <c r="E986" i="2"/>
  <c r="E987" i="2"/>
  <c r="E988" i="2"/>
  <c r="E989" i="2"/>
  <c r="E990" i="2"/>
  <c r="E991" i="2"/>
  <c r="E992" i="2"/>
  <c r="E993" i="2"/>
  <c r="E994" i="2"/>
  <c r="E995" i="2"/>
  <c r="E996" i="2"/>
  <c r="E997" i="2"/>
  <c r="E998" i="2"/>
  <c r="E999" i="2"/>
  <c r="E1000" i="2"/>
  <c r="E1001" i="2"/>
  <c r="E1002" i="2"/>
  <c r="E1003" i="2"/>
  <c r="E1004" i="2"/>
  <c r="E1005" i="2"/>
  <c r="E1006" i="2"/>
  <c r="E1007" i="2"/>
  <c r="E1008" i="2"/>
  <c r="E1009" i="2"/>
  <c r="E1010" i="2"/>
  <c r="E1011" i="2"/>
  <c r="E1012" i="2"/>
  <c r="E1013" i="2"/>
  <c r="E1014" i="2"/>
  <c r="E1015" i="2"/>
  <c r="E1016" i="2"/>
  <c r="E1017" i="2"/>
  <c r="E1018" i="2"/>
  <c r="E1019" i="2"/>
  <c r="E1020" i="2"/>
  <c r="E1021" i="2"/>
  <c r="E1022" i="2"/>
  <c r="E1023" i="2"/>
  <c r="E1024" i="2"/>
  <c r="E1025" i="2"/>
  <c r="E1026" i="2"/>
  <c r="E1027" i="2"/>
  <c r="E1028" i="2"/>
  <c r="E1029" i="2"/>
  <c r="E1030" i="2"/>
  <c r="E1031" i="2"/>
  <c r="E1032" i="2"/>
  <c r="E1033" i="2"/>
  <c r="E1034" i="2"/>
  <c r="E1035" i="2"/>
  <c r="E1036" i="2"/>
  <c r="E1037" i="2"/>
  <c r="E1038" i="2"/>
  <c r="E1039" i="2"/>
  <c r="E1040" i="2"/>
  <c r="E1041" i="2"/>
  <c r="E1042" i="2"/>
  <c r="E1043" i="2"/>
  <c r="E1044" i="2"/>
  <c r="E1045" i="2"/>
  <c r="E1046" i="2"/>
  <c r="E1047" i="2"/>
  <c r="E1048" i="2"/>
  <c r="E1049" i="2"/>
  <c r="E1050" i="2"/>
  <c r="E1051" i="2"/>
  <c r="E1052" i="2"/>
  <c r="E1053" i="2"/>
  <c r="E1054" i="2"/>
  <c r="E1055" i="2"/>
  <c r="E1056" i="2"/>
  <c r="E1057" i="2"/>
  <c r="E1058" i="2"/>
  <c r="E1059" i="2"/>
  <c r="E1060" i="2"/>
  <c r="E1061" i="2"/>
  <c r="E1062" i="2"/>
  <c r="E1063" i="2"/>
  <c r="E1064" i="2"/>
  <c r="E1065" i="2"/>
  <c r="E1066" i="2"/>
  <c r="E1067" i="2"/>
  <c r="E1068" i="2"/>
  <c r="E1069" i="2"/>
  <c r="E1070" i="2"/>
  <c r="E1071" i="2"/>
  <c r="E1072" i="2"/>
  <c r="E1073" i="2"/>
  <c r="E1074" i="2"/>
  <c r="E1075" i="2"/>
  <c r="E1076" i="2"/>
  <c r="E1077" i="2"/>
  <c r="E1078" i="2"/>
  <c r="E1079" i="2"/>
  <c r="E1080" i="2"/>
  <c r="E1081" i="2"/>
  <c r="E1082" i="2"/>
  <c r="E1083" i="2"/>
  <c r="E1084" i="2"/>
  <c r="E1085" i="2"/>
  <c r="E1086" i="2"/>
  <c r="E1087" i="2"/>
  <c r="E1088" i="2"/>
  <c r="E1089" i="2"/>
  <c r="E1090" i="2"/>
  <c r="E1091" i="2"/>
  <c r="E1092" i="2"/>
  <c r="E1093" i="2"/>
  <c r="E1094" i="2"/>
  <c r="E1095" i="2"/>
  <c r="E1096" i="2"/>
  <c r="E1097" i="2"/>
  <c r="E1098" i="2"/>
  <c r="E1099" i="2"/>
  <c r="E1100" i="2"/>
  <c r="E1101" i="2"/>
  <c r="E1102" i="2"/>
  <c r="E1103" i="2"/>
  <c r="E1104" i="2"/>
  <c r="E1105" i="2"/>
  <c r="E1106" i="2"/>
  <c r="E1107" i="2"/>
  <c r="E1108" i="2"/>
  <c r="E1109" i="2"/>
  <c r="E1110" i="2"/>
  <c r="E1111" i="2"/>
  <c r="E1112" i="2"/>
  <c r="E1113" i="2"/>
  <c r="E1114" i="2"/>
  <c r="E1115" i="2"/>
  <c r="E1116" i="2"/>
  <c r="E1117" i="2"/>
  <c r="E1118" i="2"/>
  <c r="E1119" i="2"/>
  <c r="E1120" i="2"/>
  <c r="E1121" i="2"/>
  <c r="E1122" i="2"/>
  <c r="E1123" i="2"/>
  <c r="E1124" i="2"/>
  <c r="E1125" i="2"/>
  <c r="E1126" i="2"/>
  <c r="E1127" i="2"/>
  <c r="E1128" i="2"/>
  <c r="E1129" i="2"/>
  <c r="E1130" i="2"/>
  <c r="E1131" i="2"/>
  <c r="E1132" i="2"/>
  <c r="E1133" i="2"/>
  <c r="E1134" i="2"/>
  <c r="E1135" i="2"/>
  <c r="E1136" i="2"/>
  <c r="E1137" i="2"/>
  <c r="E1138" i="2"/>
  <c r="E1139" i="2"/>
  <c r="E1140" i="2"/>
  <c r="E1141" i="2"/>
  <c r="E1142" i="2"/>
  <c r="E1143" i="2"/>
  <c r="E1144" i="2"/>
  <c r="E1145" i="2"/>
  <c r="E1146" i="2"/>
  <c r="E1147" i="2"/>
  <c r="E1148" i="2"/>
  <c r="E1149" i="2"/>
  <c r="E1150" i="2"/>
  <c r="E1151" i="2"/>
  <c r="E1152" i="2"/>
  <c r="E1153" i="2"/>
  <c r="E1154" i="2"/>
  <c r="E1155" i="2"/>
  <c r="E1156" i="2"/>
  <c r="E1157" i="2"/>
  <c r="E1158" i="2"/>
  <c r="E1159" i="2"/>
  <c r="E1160" i="2"/>
  <c r="E1161" i="2"/>
  <c r="E1162" i="2"/>
  <c r="E1163" i="2"/>
  <c r="E1164" i="2"/>
  <c r="E1165" i="2"/>
  <c r="E1166" i="2"/>
  <c r="E1167" i="2"/>
  <c r="E1168" i="2"/>
  <c r="E1169" i="2"/>
  <c r="E1170" i="2"/>
  <c r="E1171" i="2"/>
  <c r="E1172" i="2"/>
  <c r="E1173" i="2"/>
  <c r="E1174" i="2"/>
  <c r="E1175" i="2"/>
  <c r="E1176" i="2"/>
  <c r="E1177" i="2"/>
  <c r="E1178" i="2"/>
  <c r="E1179" i="2"/>
  <c r="E1180" i="2"/>
  <c r="E1181" i="2"/>
  <c r="E1182" i="2"/>
  <c r="E1183" i="2"/>
  <c r="E1184" i="2"/>
  <c r="E1185" i="2"/>
  <c r="E1186" i="2"/>
  <c r="E1187" i="2"/>
  <c r="E1188" i="2"/>
  <c r="E1189" i="2"/>
  <c r="E1190" i="2"/>
  <c r="E1191" i="2"/>
  <c r="E1192" i="2"/>
  <c r="E1193" i="2"/>
  <c r="E1194" i="2"/>
  <c r="E1195" i="2"/>
  <c r="E1196" i="2"/>
  <c r="E1197" i="2"/>
  <c r="E1198" i="2"/>
  <c r="E1199" i="2"/>
  <c r="E1200" i="2"/>
  <c r="E1201" i="2"/>
  <c r="E1202" i="2"/>
  <c r="E1203" i="2"/>
  <c r="E1204" i="2"/>
  <c r="E1205" i="2"/>
  <c r="E1206" i="2"/>
  <c r="E1207" i="2"/>
  <c r="E1208" i="2"/>
  <c r="E1209" i="2"/>
  <c r="E1210" i="2"/>
  <c r="E1211" i="2"/>
  <c r="E1212" i="2"/>
  <c r="E1213" i="2"/>
  <c r="E1214" i="2"/>
  <c r="E1215" i="2"/>
  <c r="E1216" i="2"/>
  <c r="E1217" i="2"/>
  <c r="E1218" i="2"/>
  <c r="E1219" i="2"/>
  <c r="E1220" i="2"/>
  <c r="E1221" i="2"/>
  <c r="E1222" i="2"/>
  <c r="E1223" i="2"/>
  <c r="E1224" i="2"/>
  <c r="E1225" i="2"/>
  <c r="E1226" i="2"/>
  <c r="E1227" i="2"/>
  <c r="E1228" i="2"/>
  <c r="E1229" i="2"/>
  <c r="E1230" i="2"/>
  <c r="E1231" i="2"/>
  <c r="E1232" i="2"/>
  <c r="E1233" i="2"/>
  <c r="E1234" i="2"/>
  <c r="E1235" i="2"/>
  <c r="E1236" i="2"/>
  <c r="E1237" i="2"/>
  <c r="E1238" i="2"/>
  <c r="E1239" i="2"/>
  <c r="E1240" i="2"/>
  <c r="E1241" i="2"/>
  <c r="E1242" i="2"/>
  <c r="E1243" i="2"/>
  <c r="E1244" i="2"/>
  <c r="E1245" i="2"/>
  <c r="E1246" i="2"/>
  <c r="E1247" i="2"/>
  <c r="E1248" i="2"/>
  <c r="E1249" i="2"/>
  <c r="E1250" i="2"/>
  <c r="E1251" i="2"/>
  <c r="E1252" i="2"/>
  <c r="E1253" i="2"/>
  <c r="E1254" i="2"/>
  <c r="E1255" i="2"/>
  <c r="E1256" i="2"/>
  <c r="E1257" i="2"/>
  <c r="E1258" i="2"/>
  <c r="E1259" i="2"/>
  <c r="E1260" i="2"/>
  <c r="E1261" i="2"/>
  <c r="E1262" i="2"/>
  <c r="E1263" i="2"/>
  <c r="E1264" i="2"/>
  <c r="E1265" i="2"/>
  <c r="E1266" i="2"/>
  <c r="E1267" i="2"/>
  <c r="E1268" i="2"/>
  <c r="E1269" i="2"/>
  <c r="E1270" i="2"/>
  <c r="E1271" i="2"/>
  <c r="E1272" i="2"/>
  <c r="E1273" i="2"/>
  <c r="E1274" i="2"/>
  <c r="E1275" i="2"/>
  <c r="E1276" i="2"/>
  <c r="E1277" i="2"/>
  <c r="E1278" i="2"/>
  <c r="E1279" i="2"/>
  <c r="E1280" i="2"/>
  <c r="E1281" i="2"/>
  <c r="E1282" i="2"/>
  <c r="E1283" i="2"/>
  <c r="E1284" i="2"/>
  <c r="E1285" i="2"/>
  <c r="E1286" i="2"/>
  <c r="E1287" i="2"/>
  <c r="E1288" i="2"/>
  <c r="E1289" i="2"/>
  <c r="E1290" i="2"/>
  <c r="E1291" i="2"/>
  <c r="E1292" i="2"/>
  <c r="E1293" i="2"/>
  <c r="E1294" i="2"/>
  <c r="E1295" i="2"/>
  <c r="E1296" i="2"/>
  <c r="E1297" i="2"/>
  <c r="E1298" i="2"/>
  <c r="E1299" i="2"/>
  <c r="E1300" i="2"/>
  <c r="E1301" i="2"/>
  <c r="E1302" i="2"/>
  <c r="E1303" i="2"/>
  <c r="E1304" i="2"/>
  <c r="E1305" i="2"/>
  <c r="E1306" i="2"/>
  <c r="E1307" i="2"/>
  <c r="E1308" i="2"/>
  <c r="E1309" i="2"/>
  <c r="E1310" i="2"/>
  <c r="E1311" i="2"/>
  <c r="E1312" i="2"/>
  <c r="E1313" i="2"/>
  <c r="E1314" i="2"/>
  <c r="E1315" i="2"/>
  <c r="E1316" i="2"/>
  <c r="E1317" i="2"/>
  <c r="E1318" i="2"/>
  <c r="E1319" i="2"/>
  <c r="E1320" i="2"/>
  <c r="E1321" i="2"/>
  <c r="E1322" i="2"/>
  <c r="E1323" i="2"/>
  <c r="E1324" i="2"/>
  <c r="E1325" i="2"/>
  <c r="E1326" i="2"/>
  <c r="E1327" i="2"/>
  <c r="E1328" i="2"/>
  <c r="E1329" i="2"/>
  <c r="E1330" i="2"/>
  <c r="E1331" i="2"/>
  <c r="E1332" i="2"/>
  <c r="E1333" i="2"/>
  <c r="E1334" i="2"/>
  <c r="E1335" i="2"/>
  <c r="E1336" i="2"/>
  <c r="E1337" i="2"/>
  <c r="E1338" i="2"/>
  <c r="E1339" i="2"/>
  <c r="E1340" i="2"/>
  <c r="E1341" i="2"/>
  <c r="E1342" i="2"/>
  <c r="E1343" i="2"/>
  <c r="E1344" i="2"/>
  <c r="E1345" i="2"/>
  <c r="E1346" i="2"/>
  <c r="E1347" i="2"/>
  <c r="E1348" i="2"/>
  <c r="E1349" i="2"/>
  <c r="E1350" i="2"/>
  <c r="E1351" i="2"/>
  <c r="E1352" i="2"/>
  <c r="E1353" i="2"/>
  <c r="E1354" i="2"/>
  <c r="E1355" i="2"/>
  <c r="E1356" i="2"/>
  <c r="E1357" i="2"/>
  <c r="E1358" i="2"/>
  <c r="E1359" i="2"/>
  <c r="E1360" i="2"/>
  <c r="E1361" i="2"/>
  <c r="E1362" i="2"/>
  <c r="E1363" i="2"/>
  <c r="E1364" i="2"/>
  <c r="E1365" i="2"/>
  <c r="E1366" i="2"/>
  <c r="E1367" i="2"/>
  <c r="E1368" i="2"/>
  <c r="E1369" i="2"/>
  <c r="E1370" i="2"/>
  <c r="E1371" i="2"/>
  <c r="E1372" i="2"/>
  <c r="E1373" i="2"/>
  <c r="E1374" i="2"/>
  <c r="E1375" i="2"/>
  <c r="E1376" i="2"/>
  <c r="E1377" i="2"/>
  <c r="E1378" i="2"/>
  <c r="E1379" i="2"/>
  <c r="E1380" i="2"/>
  <c r="E1381" i="2"/>
  <c r="E1382" i="2"/>
  <c r="E1383" i="2"/>
  <c r="E1384" i="2"/>
  <c r="E1385" i="2"/>
  <c r="E1386" i="2"/>
  <c r="E1387" i="2"/>
  <c r="E1388" i="2"/>
  <c r="E1389" i="2"/>
  <c r="E1390" i="2"/>
  <c r="E1391" i="2"/>
  <c r="E1392" i="2"/>
  <c r="E1393" i="2"/>
  <c r="E1394" i="2"/>
  <c r="E1395" i="2"/>
  <c r="E1396" i="2"/>
  <c r="E1397" i="2"/>
  <c r="E1398" i="2"/>
  <c r="E1399" i="2"/>
  <c r="E1400" i="2"/>
  <c r="E1401" i="2"/>
  <c r="E1402" i="2"/>
  <c r="E1403" i="2"/>
  <c r="E1404" i="2"/>
  <c r="E1405" i="2"/>
  <c r="E1406" i="2"/>
  <c r="E1407" i="2"/>
  <c r="E1408" i="2"/>
  <c r="E1409" i="2"/>
  <c r="E1410" i="2"/>
  <c r="E1411" i="2"/>
  <c r="E1412" i="2"/>
  <c r="E1413" i="2"/>
  <c r="E1414" i="2"/>
  <c r="E1415" i="2"/>
  <c r="E1416" i="2"/>
  <c r="E1417" i="2"/>
  <c r="E1418" i="2"/>
  <c r="E1419" i="2"/>
  <c r="E1420" i="2"/>
  <c r="E1421" i="2"/>
  <c r="E1422" i="2"/>
  <c r="E1423" i="2"/>
  <c r="E1424" i="2"/>
  <c r="E1425" i="2"/>
  <c r="E1426" i="2"/>
  <c r="E1427" i="2"/>
  <c r="E1428" i="2"/>
  <c r="E1429" i="2"/>
  <c r="E1430" i="2"/>
  <c r="E1431" i="2"/>
  <c r="E1432" i="2"/>
  <c r="E1433" i="2"/>
  <c r="E1434" i="2"/>
  <c r="E1435" i="2"/>
  <c r="E1436" i="2"/>
  <c r="E1437" i="2"/>
  <c r="E1438" i="2"/>
  <c r="E1439" i="2"/>
  <c r="E1440" i="2"/>
  <c r="E1441" i="2"/>
  <c r="E1442" i="2"/>
  <c r="E1443" i="2"/>
  <c r="E1444" i="2"/>
  <c r="E1445" i="2"/>
  <c r="E1446" i="2"/>
  <c r="E1447" i="2"/>
  <c r="E1448" i="2"/>
  <c r="E1449" i="2"/>
  <c r="E1450" i="2"/>
  <c r="E1451" i="2"/>
  <c r="E1452" i="2"/>
  <c r="E1453" i="2"/>
  <c r="E1454" i="2"/>
  <c r="E1455" i="2"/>
  <c r="E1456" i="2"/>
  <c r="E1457" i="2"/>
  <c r="E1458" i="2"/>
  <c r="E1459" i="2"/>
  <c r="E1460" i="2"/>
  <c r="E1461" i="2"/>
  <c r="E1462" i="2"/>
  <c r="E1463" i="2"/>
  <c r="E1464" i="2"/>
  <c r="E1465" i="2"/>
  <c r="E1466" i="2"/>
  <c r="E1467" i="2"/>
  <c r="E1468" i="2"/>
  <c r="E1469" i="2"/>
  <c r="E1470" i="2"/>
  <c r="E1471" i="2"/>
  <c r="E1472" i="2"/>
  <c r="E1473" i="2"/>
  <c r="E1474" i="2"/>
  <c r="E1475" i="2"/>
  <c r="E1476" i="2"/>
  <c r="E1477" i="2"/>
  <c r="E1478" i="2"/>
  <c r="E1479" i="2"/>
  <c r="E1480" i="2"/>
  <c r="E1481" i="2"/>
  <c r="E1482" i="2"/>
  <c r="E1483" i="2"/>
  <c r="E1484" i="2"/>
  <c r="E1485" i="2"/>
  <c r="E1486" i="2"/>
  <c r="E1487" i="2"/>
  <c r="E1488" i="2"/>
  <c r="E1489" i="2"/>
  <c r="E1490" i="2"/>
  <c r="E1491" i="2"/>
  <c r="E1492" i="2"/>
  <c r="E1493" i="2"/>
  <c r="E1494" i="2"/>
  <c r="E1495" i="2"/>
  <c r="E1496" i="2"/>
  <c r="E1497" i="2"/>
  <c r="E1498" i="2"/>
  <c r="E1499" i="2"/>
  <c r="E1500" i="2"/>
  <c r="E1501" i="2"/>
  <c r="E1502" i="2"/>
  <c r="E1503" i="2"/>
  <c r="E1504" i="2"/>
  <c r="E1505" i="2"/>
  <c r="E1506" i="2"/>
  <c r="E1507" i="2"/>
  <c r="E1508" i="2"/>
  <c r="E1509" i="2"/>
  <c r="E1510" i="2"/>
  <c r="E1511" i="2"/>
  <c r="E1512" i="2"/>
  <c r="E1513" i="2"/>
  <c r="E1514" i="2"/>
  <c r="E1515" i="2"/>
  <c r="E1516" i="2"/>
  <c r="E1517" i="2"/>
  <c r="E1518" i="2"/>
  <c r="E1519" i="2"/>
  <c r="E1520" i="2"/>
  <c r="E1521" i="2"/>
  <c r="E1522" i="2"/>
  <c r="E1523" i="2"/>
  <c r="E1524" i="2"/>
  <c r="E1525" i="2"/>
  <c r="E1526" i="2"/>
  <c r="E1527" i="2"/>
  <c r="E1528" i="2"/>
  <c r="E1529" i="2"/>
  <c r="E1530" i="2"/>
  <c r="E1531" i="2"/>
  <c r="E1532" i="2"/>
  <c r="E1533" i="2"/>
  <c r="E1534" i="2"/>
  <c r="E1535" i="2"/>
  <c r="E1536" i="2"/>
  <c r="E1537" i="2"/>
  <c r="E1538" i="2"/>
  <c r="E1539" i="2"/>
  <c r="E1540" i="2"/>
  <c r="E1541" i="2"/>
  <c r="E1542" i="2"/>
  <c r="E1543" i="2"/>
  <c r="E1544" i="2"/>
  <c r="E1545" i="2"/>
  <c r="E1546" i="2"/>
  <c r="E1547" i="2"/>
  <c r="E1548" i="2"/>
  <c r="E1549" i="2"/>
  <c r="E1550" i="2"/>
  <c r="E1551" i="2"/>
  <c r="E1552" i="2"/>
  <c r="E1553" i="2"/>
  <c r="E1554" i="2"/>
  <c r="E1555" i="2"/>
  <c r="E1556" i="2"/>
  <c r="E1557" i="2"/>
  <c r="E1558" i="2"/>
  <c r="E1559" i="2"/>
  <c r="E1560" i="2"/>
  <c r="E1561" i="2"/>
  <c r="E1562" i="2"/>
  <c r="E1563" i="2"/>
  <c r="E1564" i="2"/>
  <c r="E1565" i="2"/>
  <c r="E1566" i="2"/>
  <c r="E1567" i="2"/>
  <c r="E1568" i="2"/>
  <c r="E1569" i="2"/>
  <c r="E1570" i="2"/>
  <c r="E1571" i="2"/>
  <c r="E1572" i="2"/>
  <c r="E1573" i="2"/>
  <c r="E1574" i="2"/>
  <c r="E1575" i="2"/>
  <c r="E1576" i="2"/>
  <c r="E1577" i="2"/>
  <c r="E1578" i="2"/>
  <c r="E1579" i="2"/>
  <c r="E1580" i="2"/>
  <c r="E1581" i="2"/>
  <c r="E1582" i="2"/>
  <c r="E1583" i="2"/>
  <c r="E1584" i="2"/>
  <c r="E1585" i="2"/>
  <c r="E1586" i="2"/>
  <c r="E1587" i="2"/>
  <c r="E1588" i="2"/>
  <c r="E1589" i="2"/>
  <c r="E1590" i="2"/>
  <c r="E1591" i="2"/>
  <c r="E1592" i="2"/>
  <c r="E1593" i="2"/>
  <c r="E1594" i="2"/>
  <c r="E1595" i="2"/>
  <c r="E1596" i="2"/>
  <c r="E1597" i="2"/>
  <c r="E1598" i="2"/>
  <c r="E1599" i="2"/>
  <c r="E1600" i="2"/>
  <c r="E1601" i="2"/>
  <c r="E1602" i="2"/>
  <c r="E1603" i="2"/>
  <c r="E1604" i="2"/>
  <c r="E1605" i="2"/>
  <c r="E1606" i="2"/>
  <c r="E1607" i="2"/>
  <c r="E1608" i="2"/>
  <c r="E1609" i="2"/>
  <c r="E1610" i="2"/>
  <c r="E1611" i="2"/>
  <c r="E1612" i="2"/>
  <c r="E1613" i="2"/>
  <c r="E1614" i="2"/>
  <c r="E1615" i="2"/>
  <c r="E1616" i="2"/>
  <c r="E1617" i="2"/>
  <c r="E1618" i="2"/>
  <c r="E1619" i="2"/>
  <c r="E1620" i="2"/>
  <c r="E1621" i="2"/>
  <c r="E1622" i="2"/>
  <c r="E1623" i="2"/>
  <c r="E1624" i="2"/>
  <c r="E1625" i="2"/>
  <c r="E1626" i="2"/>
  <c r="E1627" i="2"/>
  <c r="E1628" i="2"/>
  <c r="E1629" i="2"/>
  <c r="E1630" i="2"/>
  <c r="E1631" i="2"/>
  <c r="E1632" i="2"/>
  <c r="E1633" i="2"/>
  <c r="E1634" i="2"/>
  <c r="E1635" i="2"/>
  <c r="E1636" i="2"/>
  <c r="E1637" i="2"/>
  <c r="E1638" i="2"/>
  <c r="E1639" i="2"/>
  <c r="E1640" i="2"/>
  <c r="E1641" i="2"/>
  <c r="E1642" i="2"/>
  <c r="E1643" i="2"/>
  <c r="E1644" i="2"/>
  <c r="E1645" i="2"/>
  <c r="E1646" i="2"/>
  <c r="E1647" i="2"/>
  <c r="E1648" i="2"/>
  <c r="E1649" i="2"/>
  <c r="E1650" i="2"/>
  <c r="E1651" i="2"/>
  <c r="E1652" i="2"/>
  <c r="E1653" i="2"/>
  <c r="E1654" i="2"/>
  <c r="E1655" i="2"/>
  <c r="E1656" i="2"/>
  <c r="E1657" i="2"/>
  <c r="E1658" i="2"/>
  <c r="E1659" i="2"/>
  <c r="E1660" i="2"/>
  <c r="E1661" i="2"/>
  <c r="E1662" i="2"/>
  <c r="E1663" i="2"/>
  <c r="E1664" i="2"/>
  <c r="E1665" i="2"/>
  <c r="E1666" i="2"/>
  <c r="E1667" i="2"/>
  <c r="E1668" i="2"/>
  <c r="E1669" i="2"/>
  <c r="E1670" i="2"/>
  <c r="E1671" i="2"/>
  <c r="E1672" i="2"/>
  <c r="E1673" i="2"/>
  <c r="E1674" i="2"/>
  <c r="E1675" i="2"/>
  <c r="E1676" i="2"/>
  <c r="E1677" i="2"/>
  <c r="E1678" i="2"/>
  <c r="E1679" i="2"/>
  <c r="E1680" i="2"/>
  <c r="E1681" i="2"/>
  <c r="E1682" i="2"/>
  <c r="E1683" i="2"/>
  <c r="E1684" i="2"/>
  <c r="E1685" i="2"/>
  <c r="E1686" i="2"/>
  <c r="E1687" i="2"/>
  <c r="E1688" i="2"/>
  <c r="E1689" i="2"/>
  <c r="E1690" i="2"/>
  <c r="E1691" i="2"/>
  <c r="E1692" i="2"/>
  <c r="E1693" i="2"/>
  <c r="E1694" i="2"/>
  <c r="E1695" i="2"/>
  <c r="E1696" i="2"/>
  <c r="E1697" i="2"/>
  <c r="E1698" i="2"/>
  <c r="E1699" i="2"/>
  <c r="E1700" i="2"/>
  <c r="E1701" i="2"/>
  <c r="E1702" i="2"/>
  <c r="E1703" i="2"/>
  <c r="E1704" i="2"/>
  <c r="E1705" i="2"/>
  <c r="E1706" i="2"/>
  <c r="E1707" i="2"/>
  <c r="E1708" i="2"/>
  <c r="E1709" i="2"/>
  <c r="E1710" i="2"/>
  <c r="E1711" i="2"/>
  <c r="E1712" i="2"/>
  <c r="E1713" i="2"/>
  <c r="E1714" i="2"/>
  <c r="E1715" i="2"/>
  <c r="E1716" i="2"/>
  <c r="E1717" i="2"/>
  <c r="E1718" i="2"/>
  <c r="E1719" i="2"/>
  <c r="E1720" i="2"/>
  <c r="E1721" i="2"/>
  <c r="E1722" i="2"/>
  <c r="E1723" i="2"/>
  <c r="E1724" i="2"/>
  <c r="E1725" i="2"/>
  <c r="E1726" i="2"/>
  <c r="E1727" i="2"/>
  <c r="E1728" i="2"/>
  <c r="E1729" i="2"/>
  <c r="E1730" i="2"/>
  <c r="E1731" i="2"/>
  <c r="E1732" i="2"/>
  <c r="E1733" i="2"/>
  <c r="E1734" i="2"/>
  <c r="E1735" i="2"/>
  <c r="E1736" i="2"/>
  <c r="E1737" i="2"/>
  <c r="E1738" i="2"/>
  <c r="E1739" i="2"/>
  <c r="E1740" i="2"/>
  <c r="E1741" i="2"/>
  <c r="E1742" i="2"/>
  <c r="E1743" i="2"/>
  <c r="E1744" i="2"/>
  <c r="E1745" i="2"/>
  <c r="E1746" i="2"/>
  <c r="E1747" i="2"/>
  <c r="E1748" i="2"/>
  <c r="E1749" i="2"/>
  <c r="E1750" i="2"/>
  <c r="E1751" i="2"/>
  <c r="E1752" i="2"/>
  <c r="E1753" i="2"/>
  <c r="E1754" i="2"/>
  <c r="E1755" i="2"/>
  <c r="E1756" i="2"/>
  <c r="E1757" i="2"/>
  <c r="E1758" i="2"/>
  <c r="E1759" i="2"/>
  <c r="E1760" i="2"/>
  <c r="E1761" i="2"/>
  <c r="E1762" i="2"/>
  <c r="E1763" i="2"/>
  <c r="E1764" i="2"/>
  <c r="E1765" i="2"/>
  <c r="E1766" i="2"/>
  <c r="E1767" i="2"/>
  <c r="E1768" i="2"/>
  <c r="E1769" i="2"/>
  <c r="E1770" i="2"/>
  <c r="E1771" i="2"/>
  <c r="E1772" i="2"/>
  <c r="E1773" i="2"/>
  <c r="E1774" i="2"/>
  <c r="E1775" i="2"/>
  <c r="E1776" i="2"/>
  <c r="E1777" i="2"/>
  <c r="E1778" i="2"/>
  <c r="E1779" i="2"/>
  <c r="E1780" i="2"/>
  <c r="E1781" i="2"/>
  <c r="E1782" i="2"/>
  <c r="E1783" i="2"/>
  <c r="E1784" i="2"/>
  <c r="E1785" i="2"/>
  <c r="E1786" i="2"/>
  <c r="E1787" i="2"/>
  <c r="E1788" i="2"/>
  <c r="E1789" i="2"/>
  <c r="E1790" i="2"/>
  <c r="E1791" i="2"/>
  <c r="E1792" i="2"/>
  <c r="E1793" i="2"/>
  <c r="E1794" i="2"/>
  <c r="E1795" i="2"/>
  <c r="E1796" i="2"/>
  <c r="E1797" i="2"/>
  <c r="E1798" i="2"/>
  <c r="E1799" i="2"/>
  <c r="E1800" i="2"/>
  <c r="E1801" i="2"/>
  <c r="E1802" i="2"/>
  <c r="E1803" i="2"/>
  <c r="E1804" i="2"/>
  <c r="E1805" i="2"/>
  <c r="E1806" i="2"/>
  <c r="E1807" i="2"/>
  <c r="E1808" i="2"/>
  <c r="E1809" i="2"/>
  <c r="E1810" i="2"/>
  <c r="E1811" i="2"/>
  <c r="E1812" i="2"/>
  <c r="E1813" i="2"/>
  <c r="E1814" i="2"/>
  <c r="E1815" i="2"/>
  <c r="E1816" i="2"/>
  <c r="E1817" i="2"/>
  <c r="E1818" i="2"/>
  <c r="E1819" i="2"/>
  <c r="E1820" i="2"/>
  <c r="E1821" i="2"/>
  <c r="E1822" i="2"/>
  <c r="E1823" i="2"/>
  <c r="E1824" i="2"/>
  <c r="E1825" i="2"/>
  <c r="E1826" i="2"/>
  <c r="E1827" i="2"/>
  <c r="E1828" i="2"/>
  <c r="E1829" i="2"/>
  <c r="E1830" i="2"/>
  <c r="E1831" i="2"/>
  <c r="E1832" i="2"/>
  <c r="E1833" i="2"/>
  <c r="E1834" i="2"/>
  <c r="E1835" i="2"/>
  <c r="E1836" i="2"/>
  <c r="E1837" i="2"/>
  <c r="E1838" i="2"/>
  <c r="E1839" i="2"/>
  <c r="E1840" i="2"/>
  <c r="E1841" i="2"/>
  <c r="E1842" i="2"/>
  <c r="E1843" i="2"/>
  <c r="E1844" i="2"/>
  <c r="E1845" i="2"/>
  <c r="E1846" i="2"/>
  <c r="E1847" i="2"/>
  <c r="E1848" i="2"/>
  <c r="E1849" i="2"/>
  <c r="E1850" i="2"/>
  <c r="E1851" i="2"/>
  <c r="E1852" i="2"/>
  <c r="E1853" i="2"/>
  <c r="E1854" i="2"/>
  <c r="E1855" i="2"/>
  <c r="E1856" i="2"/>
  <c r="E1857" i="2"/>
  <c r="E1858" i="2"/>
  <c r="E1859" i="2"/>
  <c r="E1860" i="2"/>
  <c r="E1861" i="2"/>
  <c r="E1862" i="2"/>
  <c r="E1863" i="2"/>
  <c r="E1864" i="2"/>
  <c r="E1865" i="2"/>
  <c r="E1866" i="2"/>
  <c r="E1867" i="2"/>
  <c r="E1868" i="2"/>
  <c r="E1869" i="2"/>
  <c r="E1870" i="2"/>
  <c r="E1871" i="2"/>
  <c r="E1872" i="2"/>
  <c r="E1873" i="2"/>
  <c r="E1874" i="2"/>
  <c r="E1875" i="2"/>
  <c r="E1876" i="2"/>
  <c r="E1877" i="2"/>
  <c r="E1878" i="2"/>
  <c r="E1879" i="2"/>
  <c r="E1880" i="2"/>
  <c r="E1881" i="2"/>
  <c r="E1882" i="2"/>
  <c r="E1883" i="2"/>
  <c r="E1884" i="2"/>
  <c r="E1885" i="2"/>
  <c r="E1886" i="2"/>
  <c r="E1887" i="2"/>
  <c r="E1888" i="2"/>
  <c r="E1889" i="2"/>
  <c r="E1890" i="2"/>
  <c r="E1891" i="2"/>
  <c r="E1892" i="2"/>
  <c r="E1893" i="2"/>
  <c r="E1894" i="2"/>
  <c r="E1895" i="2"/>
  <c r="E1896" i="2"/>
  <c r="E1897" i="2"/>
  <c r="E1898" i="2"/>
  <c r="E1899" i="2"/>
  <c r="E1900" i="2"/>
  <c r="E1901" i="2"/>
  <c r="E1902" i="2"/>
  <c r="E1903" i="2"/>
  <c r="E1904" i="2"/>
  <c r="E1905" i="2"/>
  <c r="E1906" i="2"/>
  <c r="E1907" i="2"/>
  <c r="E1908" i="2"/>
  <c r="E1909" i="2"/>
  <c r="E1910" i="2"/>
  <c r="E1911" i="2"/>
  <c r="E1912" i="2"/>
  <c r="E1913" i="2"/>
  <c r="E1914" i="2"/>
  <c r="E1915" i="2"/>
  <c r="E1916" i="2"/>
  <c r="E1917" i="2"/>
  <c r="E1918" i="2"/>
  <c r="E1919" i="2"/>
  <c r="E1920" i="2"/>
  <c r="E1921" i="2"/>
  <c r="E1922" i="2"/>
  <c r="E1923" i="2"/>
  <c r="E1924" i="2"/>
  <c r="E1925" i="2"/>
  <c r="E1926" i="2"/>
  <c r="E1927" i="2"/>
  <c r="E1928" i="2"/>
  <c r="E1929" i="2"/>
  <c r="E1930" i="2"/>
  <c r="E1931" i="2"/>
  <c r="E1932" i="2"/>
  <c r="E1933" i="2"/>
  <c r="E1934" i="2"/>
  <c r="E1935" i="2"/>
  <c r="E1936" i="2"/>
  <c r="E1937" i="2"/>
  <c r="E1938" i="2"/>
  <c r="E1939" i="2"/>
  <c r="E1940" i="2"/>
  <c r="E1941" i="2"/>
  <c r="E1942" i="2"/>
  <c r="E1943" i="2"/>
  <c r="E1944" i="2"/>
  <c r="E1945" i="2"/>
  <c r="E1946" i="2"/>
  <c r="E1947" i="2"/>
  <c r="E1948" i="2"/>
  <c r="E1949" i="2"/>
  <c r="E1950" i="2"/>
  <c r="E1951" i="2"/>
  <c r="E1952" i="2"/>
  <c r="E1953" i="2"/>
  <c r="E1954" i="2"/>
  <c r="E1955" i="2"/>
  <c r="E1956" i="2"/>
  <c r="E1957" i="2"/>
  <c r="E1958" i="2"/>
  <c r="E1959" i="2"/>
  <c r="E1960" i="2"/>
  <c r="E1961" i="2"/>
  <c r="E1962" i="2"/>
  <c r="E1963" i="2"/>
  <c r="E1964" i="2"/>
  <c r="E1965" i="2"/>
  <c r="E1966" i="2"/>
  <c r="E1967" i="2"/>
  <c r="E1968" i="2"/>
  <c r="E1969" i="2"/>
  <c r="E1970" i="2"/>
  <c r="E1971" i="2"/>
  <c r="E1972" i="2"/>
  <c r="E1973" i="2"/>
  <c r="E1974" i="2"/>
  <c r="E1975" i="2"/>
  <c r="E1976" i="2"/>
  <c r="E1977" i="2"/>
  <c r="E1978" i="2"/>
  <c r="E1979" i="2"/>
  <c r="E1980" i="2"/>
  <c r="E1981" i="2"/>
  <c r="E1982" i="2"/>
  <c r="E1983" i="2"/>
  <c r="E1984" i="2"/>
  <c r="E1985" i="2"/>
  <c r="E1986" i="2"/>
  <c r="E1987" i="2"/>
  <c r="E1988" i="2"/>
  <c r="E1989" i="2"/>
  <c r="E1990" i="2"/>
  <c r="E1991" i="2"/>
  <c r="E1992" i="2"/>
  <c r="E1993" i="2"/>
  <c r="E1994" i="2"/>
  <c r="E1995" i="2"/>
  <c r="E1996" i="2"/>
  <c r="E1997" i="2"/>
  <c r="E1998" i="2"/>
  <c r="E1999" i="2"/>
  <c r="E2000" i="2"/>
  <c r="E2001" i="2"/>
  <c r="E2002" i="2"/>
  <c r="E2003" i="2"/>
  <c r="E2004" i="2"/>
  <c r="E2005" i="2"/>
  <c r="E2006" i="2"/>
  <c r="E2007" i="2"/>
  <c r="E2008" i="2"/>
  <c r="E2009" i="2"/>
  <c r="E2010" i="2"/>
  <c r="E2011" i="2"/>
  <c r="E2012" i="2"/>
  <c r="E2013" i="2"/>
  <c r="E2014" i="2"/>
  <c r="E2015" i="2"/>
  <c r="E2016" i="2"/>
  <c r="E2017" i="2"/>
  <c r="E2018" i="2"/>
  <c r="E2019" i="2"/>
  <c r="E2020" i="2"/>
  <c r="E2021" i="2"/>
  <c r="E2022" i="2"/>
  <c r="E2023" i="2"/>
  <c r="E2024" i="2"/>
  <c r="E2025" i="2"/>
  <c r="E2026" i="2"/>
  <c r="E2027" i="2"/>
  <c r="E2028" i="2"/>
  <c r="E2029" i="2"/>
  <c r="E2030" i="2"/>
  <c r="E2031" i="2"/>
  <c r="E2032" i="2"/>
  <c r="E2033" i="2"/>
  <c r="E2034" i="2"/>
  <c r="E2035" i="2"/>
  <c r="E2036" i="2"/>
  <c r="E2037" i="2"/>
  <c r="E2038" i="2"/>
  <c r="E2039" i="2"/>
  <c r="E2040" i="2"/>
  <c r="E2041" i="2"/>
  <c r="E2042" i="2"/>
  <c r="E2043" i="2"/>
  <c r="E2044" i="2"/>
  <c r="E2045" i="2"/>
  <c r="E2046" i="2"/>
  <c r="E2047" i="2"/>
  <c r="E2048" i="2"/>
  <c r="E2049" i="2"/>
  <c r="E2050" i="2"/>
  <c r="E2051" i="2"/>
  <c r="E2052" i="2"/>
  <c r="E2053" i="2"/>
  <c r="E2054" i="2"/>
  <c r="E2055" i="2"/>
  <c r="E2056" i="2"/>
  <c r="E2057" i="2"/>
  <c r="E2058" i="2"/>
  <c r="E2059" i="2"/>
  <c r="E2060" i="2"/>
  <c r="E2061" i="2"/>
  <c r="E2062" i="2"/>
  <c r="E2063" i="2"/>
  <c r="E2064" i="2"/>
  <c r="E2065" i="2"/>
  <c r="E2066" i="2"/>
  <c r="E2067" i="2"/>
  <c r="E2068" i="2"/>
  <c r="E2069" i="2"/>
  <c r="E2070" i="2"/>
  <c r="E2071" i="2"/>
  <c r="E2072" i="2"/>
  <c r="E2073" i="2"/>
  <c r="E2074" i="2"/>
  <c r="E2075" i="2"/>
  <c r="E2076" i="2"/>
  <c r="E2077" i="2"/>
  <c r="E2078" i="2"/>
  <c r="E2079" i="2"/>
  <c r="E2080" i="2"/>
  <c r="E2081" i="2"/>
  <c r="E2082" i="2"/>
  <c r="E2083" i="2"/>
  <c r="E2084" i="2"/>
  <c r="E2085" i="2"/>
  <c r="E2086" i="2"/>
  <c r="E2087" i="2"/>
  <c r="E2088" i="2"/>
  <c r="E2089" i="2"/>
  <c r="E2090" i="2"/>
  <c r="E2091" i="2"/>
  <c r="E2092" i="2"/>
  <c r="E2093" i="2"/>
  <c r="E2094" i="2"/>
  <c r="E2095" i="2"/>
  <c r="E2096" i="2"/>
  <c r="E2097" i="2"/>
  <c r="E2098" i="2"/>
  <c r="E2099" i="2"/>
  <c r="E2100" i="2"/>
  <c r="E2101" i="2"/>
  <c r="E2102" i="2"/>
  <c r="E2103" i="2"/>
  <c r="E2104" i="2"/>
  <c r="E2105" i="2"/>
  <c r="E2106" i="2"/>
  <c r="E2107" i="2"/>
  <c r="E2108" i="2"/>
  <c r="E2109" i="2"/>
  <c r="E2110" i="2"/>
  <c r="E2111" i="2"/>
  <c r="E2112" i="2"/>
  <c r="E2113" i="2"/>
  <c r="E2114" i="2"/>
  <c r="E2115" i="2"/>
  <c r="E2116" i="2"/>
  <c r="E2117" i="2"/>
  <c r="E2118" i="2"/>
  <c r="E2119" i="2"/>
  <c r="E2120" i="2"/>
  <c r="E2121" i="2"/>
  <c r="E2122" i="2"/>
  <c r="E2123" i="2"/>
  <c r="E2124" i="2"/>
  <c r="E2125" i="2"/>
  <c r="E2126" i="2"/>
  <c r="E2127" i="2"/>
  <c r="E2128" i="2"/>
  <c r="E2129" i="2"/>
  <c r="E2130" i="2"/>
  <c r="E2131" i="2"/>
  <c r="E2132" i="2"/>
  <c r="E2133" i="2"/>
  <c r="E2134" i="2"/>
  <c r="E2135" i="2"/>
  <c r="E2136" i="2"/>
  <c r="E2137" i="2"/>
  <c r="E2138" i="2"/>
  <c r="E2139" i="2"/>
  <c r="E2140" i="2"/>
  <c r="E2141" i="2"/>
  <c r="E2142" i="2"/>
  <c r="E2143" i="2"/>
  <c r="E2144" i="2"/>
  <c r="E2145" i="2"/>
  <c r="E2146" i="2"/>
  <c r="E2147" i="2"/>
  <c r="E2148" i="2"/>
  <c r="E2149" i="2"/>
  <c r="E2150" i="2"/>
  <c r="E2151" i="2"/>
  <c r="E2152" i="2"/>
  <c r="E2153" i="2"/>
  <c r="E2154" i="2"/>
  <c r="E2155" i="2"/>
  <c r="E2156" i="2"/>
  <c r="E2157" i="2"/>
  <c r="E2158" i="2"/>
  <c r="E2159" i="2"/>
  <c r="E2160" i="2"/>
  <c r="E2161" i="2"/>
  <c r="E2162" i="2"/>
  <c r="E2163" i="2"/>
  <c r="E2164" i="2"/>
  <c r="E2165" i="2"/>
  <c r="E2166" i="2"/>
  <c r="E2167" i="2"/>
  <c r="E2168" i="2"/>
  <c r="E2169" i="2"/>
  <c r="E2170" i="2"/>
  <c r="E2171" i="2"/>
  <c r="E2172" i="2"/>
  <c r="E2173" i="2"/>
  <c r="E2174" i="2"/>
  <c r="E2175" i="2"/>
  <c r="E2176" i="2"/>
  <c r="E2177" i="2"/>
  <c r="E2178" i="2"/>
  <c r="E2179" i="2"/>
  <c r="E2180" i="2"/>
  <c r="E2181" i="2"/>
  <c r="E2182" i="2"/>
  <c r="E2183" i="2"/>
  <c r="E2184" i="2"/>
  <c r="E2185" i="2"/>
  <c r="E2186" i="2"/>
  <c r="E2187" i="2"/>
  <c r="E2188" i="2"/>
  <c r="E2189" i="2"/>
  <c r="E2190" i="2"/>
  <c r="E2191" i="2"/>
  <c r="E2192" i="2"/>
  <c r="E2193" i="2"/>
  <c r="E2194" i="2"/>
  <c r="E2195" i="2"/>
  <c r="E2196" i="2"/>
  <c r="E2197" i="2"/>
  <c r="E2198" i="2"/>
  <c r="E2199" i="2"/>
  <c r="E2200" i="2"/>
  <c r="E2201" i="2"/>
  <c r="E2202" i="2"/>
  <c r="E2203" i="2"/>
  <c r="E2204" i="2"/>
  <c r="E2205" i="2"/>
  <c r="E2206" i="2"/>
  <c r="E2207" i="2"/>
  <c r="E2208" i="2"/>
  <c r="E2209" i="2"/>
  <c r="E2210" i="2"/>
  <c r="E2211" i="2"/>
  <c r="E2212" i="2"/>
  <c r="E2213" i="2"/>
  <c r="E2214" i="2"/>
  <c r="E2215" i="2"/>
  <c r="E2216" i="2"/>
  <c r="E2217" i="2"/>
  <c r="E2218" i="2"/>
  <c r="E2219" i="2"/>
  <c r="E2220" i="2"/>
  <c r="E2221" i="2"/>
  <c r="E2222" i="2"/>
  <c r="E2223" i="2"/>
  <c r="E2224" i="2"/>
  <c r="E2225" i="2"/>
  <c r="E2226" i="2"/>
  <c r="E2227" i="2"/>
  <c r="E2228" i="2"/>
  <c r="E2229" i="2"/>
  <c r="E2230" i="2"/>
  <c r="E2231" i="2"/>
  <c r="E2232" i="2"/>
  <c r="E2233" i="2"/>
  <c r="E2234" i="2"/>
  <c r="E2235" i="2"/>
  <c r="E2236" i="2"/>
  <c r="E2237" i="2"/>
  <c r="E2238" i="2"/>
  <c r="E2239" i="2"/>
  <c r="E2240" i="2"/>
  <c r="E2241" i="2"/>
  <c r="E2242" i="2"/>
  <c r="E2243" i="2"/>
  <c r="E2244" i="2"/>
  <c r="E2245" i="2"/>
  <c r="E2246" i="2"/>
  <c r="E2247" i="2"/>
  <c r="E2248" i="2"/>
  <c r="E2249" i="2"/>
  <c r="E2250" i="2"/>
  <c r="E2251" i="2"/>
  <c r="E2252" i="2"/>
  <c r="E2253" i="2"/>
  <c r="E2254" i="2"/>
  <c r="E2255" i="2"/>
  <c r="E2256" i="2"/>
  <c r="E2257" i="2"/>
  <c r="E2258" i="2"/>
  <c r="E2259" i="2"/>
  <c r="E2260" i="2"/>
  <c r="E2261" i="2"/>
  <c r="E2262" i="2"/>
  <c r="E2263" i="2"/>
  <c r="E2264" i="2"/>
  <c r="E2265" i="2"/>
  <c r="E2266" i="2"/>
  <c r="E2267" i="2"/>
  <c r="E2268" i="2"/>
  <c r="E2269" i="2"/>
  <c r="E2270" i="2"/>
  <c r="E2271" i="2"/>
  <c r="E2272" i="2"/>
  <c r="E2273" i="2"/>
  <c r="E2274" i="2"/>
  <c r="E2275" i="2"/>
  <c r="E2276" i="2"/>
  <c r="E2277" i="2"/>
  <c r="E2278" i="2"/>
  <c r="E2279" i="2"/>
  <c r="E2280" i="2"/>
  <c r="E2281" i="2"/>
  <c r="E2282" i="2"/>
  <c r="E2283" i="2"/>
  <c r="E2284" i="2"/>
  <c r="E2285" i="2"/>
  <c r="E2286" i="2"/>
  <c r="E2287" i="2"/>
  <c r="E2288" i="2"/>
  <c r="E2289" i="2"/>
  <c r="E2290" i="2"/>
  <c r="E2291" i="2"/>
  <c r="E2292" i="2"/>
  <c r="E2293" i="2"/>
  <c r="E2294" i="2"/>
  <c r="E2295" i="2"/>
  <c r="E2296" i="2"/>
  <c r="E2297" i="2"/>
  <c r="E2298" i="2"/>
  <c r="E2299" i="2"/>
  <c r="E2300" i="2"/>
  <c r="E2301" i="2"/>
  <c r="E2302" i="2"/>
  <c r="E2303" i="2"/>
  <c r="E2304" i="2"/>
  <c r="E2305" i="2"/>
  <c r="E2306" i="2"/>
  <c r="E2307" i="2"/>
  <c r="E2308" i="2"/>
  <c r="E2309" i="2"/>
  <c r="E2310" i="2"/>
  <c r="E2311" i="2"/>
  <c r="E2312" i="2"/>
  <c r="E2313" i="2"/>
  <c r="E2314" i="2"/>
  <c r="E2315" i="2"/>
  <c r="E2316" i="2"/>
  <c r="E2317" i="2"/>
  <c r="E2318" i="2"/>
  <c r="E2319" i="2"/>
  <c r="E2320" i="2"/>
  <c r="E2321" i="2"/>
  <c r="E2322" i="2"/>
  <c r="E2323" i="2"/>
  <c r="E2324" i="2"/>
  <c r="E2325" i="2"/>
  <c r="E2326" i="2"/>
  <c r="E2327" i="2"/>
  <c r="E2328" i="2"/>
  <c r="E2329" i="2"/>
  <c r="E2330" i="2"/>
  <c r="E2331" i="2"/>
  <c r="E2332" i="2"/>
  <c r="E2333" i="2"/>
  <c r="E2334" i="2"/>
  <c r="E2335" i="2"/>
  <c r="E2336" i="2"/>
  <c r="E2337" i="2"/>
  <c r="E2338" i="2"/>
  <c r="E2339" i="2"/>
  <c r="E2340" i="2"/>
  <c r="E2341" i="2"/>
  <c r="E2342" i="2"/>
  <c r="E2343" i="2"/>
  <c r="E2344" i="2"/>
  <c r="E2345" i="2"/>
  <c r="E2346" i="2"/>
  <c r="E2347" i="2"/>
  <c r="E2348" i="2"/>
  <c r="E2349" i="2"/>
  <c r="E2350" i="2"/>
  <c r="E2351" i="2"/>
  <c r="E2352" i="2"/>
  <c r="E2353" i="2"/>
  <c r="E2354" i="2"/>
  <c r="E2355" i="2"/>
  <c r="E2356" i="2"/>
  <c r="E2357" i="2"/>
  <c r="E2358" i="2"/>
  <c r="E2359" i="2"/>
  <c r="E2360" i="2"/>
  <c r="E2361" i="2"/>
  <c r="E2362" i="2"/>
  <c r="E2363" i="2"/>
  <c r="E2364" i="2"/>
  <c r="E2365" i="2"/>
  <c r="E2366" i="2"/>
  <c r="E2367" i="2"/>
  <c r="E2368" i="2"/>
  <c r="E2369" i="2"/>
  <c r="E2370" i="2"/>
  <c r="E2371" i="2"/>
  <c r="E2372" i="2"/>
  <c r="E2373" i="2"/>
  <c r="E2374" i="2"/>
  <c r="E2375" i="2"/>
  <c r="E2376" i="2"/>
  <c r="E2377" i="2"/>
  <c r="E2378" i="2"/>
  <c r="E2379" i="2"/>
  <c r="E2380" i="2"/>
  <c r="E2381" i="2"/>
  <c r="E2382" i="2"/>
  <c r="E2383" i="2"/>
  <c r="E2384" i="2"/>
  <c r="E2385" i="2"/>
  <c r="E2386" i="2"/>
  <c r="E2387" i="2"/>
  <c r="E2388" i="2"/>
  <c r="E2389" i="2"/>
  <c r="E2390" i="2"/>
  <c r="E2391" i="2"/>
  <c r="E2392" i="2"/>
  <c r="E2393" i="2"/>
  <c r="E2394" i="2"/>
  <c r="E2395" i="2"/>
  <c r="E2396" i="2"/>
  <c r="E2397" i="2"/>
  <c r="E2398" i="2"/>
  <c r="E2399" i="2"/>
  <c r="E2400" i="2"/>
  <c r="E2401" i="2"/>
  <c r="E2402" i="2"/>
  <c r="E2403" i="2"/>
  <c r="E2404" i="2"/>
  <c r="E2405" i="2"/>
  <c r="E2406" i="2"/>
  <c r="E2407" i="2"/>
  <c r="E2408" i="2"/>
  <c r="E2409" i="2"/>
  <c r="E2410" i="2"/>
  <c r="E2411" i="2"/>
  <c r="E2412" i="2"/>
  <c r="E2413" i="2"/>
  <c r="E2414" i="2"/>
  <c r="E2415" i="2"/>
  <c r="E2416" i="2"/>
  <c r="E2417" i="2"/>
  <c r="E2418" i="2"/>
  <c r="E2419" i="2"/>
  <c r="E2420" i="2"/>
  <c r="E2421" i="2"/>
  <c r="E2422" i="2"/>
  <c r="E2423" i="2"/>
  <c r="E2424" i="2"/>
  <c r="E2425" i="2"/>
  <c r="E2426" i="2"/>
  <c r="E2427" i="2"/>
  <c r="E2428" i="2"/>
  <c r="E2429" i="2"/>
  <c r="E2430" i="2"/>
  <c r="E2431" i="2"/>
  <c r="E2432" i="2"/>
  <c r="E2433" i="2"/>
  <c r="E2434" i="2"/>
  <c r="E2435" i="2"/>
  <c r="E2436" i="2"/>
  <c r="E2437" i="2"/>
  <c r="E2438" i="2"/>
  <c r="E2439" i="2"/>
  <c r="E2440" i="2"/>
  <c r="E2441" i="2"/>
  <c r="E2442" i="2"/>
  <c r="E2443" i="2"/>
  <c r="E2444" i="2"/>
  <c r="E2445" i="2"/>
  <c r="E2446" i="2"/>
  <c r="E2447" i="2"/>
  <c r="E2448" i="2"/>
  <c r="E2449" i="2"/>
  <c r="E2450" i="2"/>
  <c r="E2451" i="2"/>
  <c r="E2452" i="2"/>
  <c r="E2453" i="2"/>
  <c r="E2454" i="2"/>
  <c r="E2455" i="2"/>
  <c r="E2456" i="2"/>
  <c r="E2457" i="2"/>
  <c r="E2458" i="2"/>
  <c r="E2459" i="2"/>
  <c r="E2460" i="2"/>
  <c r="E2461" i="2"/>
  <c r="E2462" i="2"/>
  <c r="E2463" i="2"/>
  <c r="E2464" i="2"/>
  <c r="E2465" i="2"/>
  <c r="E2466" i="2"/>
  <c r="E2467" i="2"/>
  <c r="E2468" i="2"/>
  <c r="E2469" i="2"/>
  <c r="E2470" i="2"/>
  <c r="E2471" i="2"/>
  <c r="E2472" i="2"/>
  <c r="E2473" i="2"/>
  <c r="E2474" i="2"/>
  <c r="E2475" i="2"/>
  <c r="E2476" i="2"/>
  <c r="E2477" i="2"/>
  <c r="E2478" i="2"/>
  <c r="E2479" i="2"/>
  <c r="E2480" i="2"/>
  <c r="E2481" i="2"/>
  <c r="E2482" i="2"/>
  <c r="E2483" i="2"/>
  <c r="E2484" i="2"/>
  <c r="E2485" i="2"/>
  <c r="E2486" i="2"/>
  <c r="E2487" i="2"/>
  <c r="E2488" i="2"/>
  <c r="E2489" i="2"/>
  <c r="E2490" i="2"/>
  <c r="E2491" i="2"/>
  <c r="E2492" i="2"/>
  <c r="E2493" i="2"/>
  <c r="E2494" i="2"/>
  <c r="E2495" i="2"/>
  <c r="E2496" i="2"/>
  <c r="E2497" i="2"/>
  <c r="E2498" i="2"/>
  <c r="E2499" i="2"/>
  <c r="E2500" i="2"/>
  <c r="E2501" i="2"/>
  <c r="E2502" i="2"/>
  <c r="E2503" i="2"/>
  <c r="E2504" i="2"/>
  <c r="E2505" i="2"/>
  <c r="E2506" i="2"/>
  <c r="E2507" i="2"/>
  <c r="E2508" i="2"/>
  <c r="E2509" i="2"/>
  <c r="E2510" i="2"/>
  <c r="E2511" i="2"/>
  <c r="E2512" i="2"/>
  <c r="E2513" i="2"/>
  <c r="E2514" i="2"/>
  <c r="E2515" i="2"/>
  <c r="E2516" i="2"/>
  <c r="E2517" i="2"/>
  <c r="E2518" i="2"/>
  <c r="E2519" i="2"/>
  <c r="E2520" i="2"/>
  <c r="E2521" i="2"/>
  <c r="E2522" i="2"/>
  <c r="E2523" i="2"/>
  <c r="E2524" i="2"/>
  <c r="E2525" i="2"/>
  <c r="E2526" i="2"/>
  <c r="E2527" i="2"/>
  <c r="E2528" i="2"/>
  <c r="E2529" i="2"/>
  <c r="E2530" i="2"/>
  <c r="E2531" i="2"/>
  <c r="E2532" i="2"/>
  <c r="E2533" i="2"/>
  <c r="E2534" i="2"/>
  <c r="E2535" i="2"/>
  <c r="E2536" i="2"/>
  <c r="E2537" i="2"/>
  <c r="E2538" i="2"/>
  <c r="E2539" i="2"/>
  <c r="E2540" i="2"/>
  <c r="E2541" i="2"/>
  <c r="E2542" i="2"/>
  <c r="E2543" i="2"/>
  <c r="E2544" i="2"/>
  <c r="E2545" i="2"/>
  <c r="E2546" i="2"/>
  <c r="E2547" i="2"/>
  <c r="E2548" i="2"/>
  <c r="E2549" i="2"/>
  <c r="E2550" i="2"/>
  <c r="E2551" i="2"/>
  <c r="E2552" i="2"/>
  <c r="E2553" i="2"/>
  <c r="E2554" i="2"/>
  <c r="E2555" i="2"/>
  <c r="E2556" i="2"/>
  <c r="E2557" i="2"/>
  <c r="E2558" i="2"/>
  <c r="E2559" i="2"/>
  <c r="E2560" i="2"/>
  <c r="E2561" i="2"/>
  <c r="E2562" i="2"/>
  <c r="E2563" i="2"/>
  <c r="E2564" i="2"/>
  <c r="E2565" i="2"/>
  <c r="E2566" i="2"/>
  <c r="E2567" i="2"/>
  <c r="E2568" i="2"/>
  <c r="E2569" i="2"/>
  <c r="E2570" i="2"/>
  <c r="E2571" i="2"/>
  <c r="E2572" i="2"/>
  <c r="E2573" i="2"/>
  <c r="E2574" i="2"/>
  <c r="E2575" i="2"/>
  <c r="E2576" i="2"/>
  <c r="E2577" i="2"/>
  <c r="E2578" i="2"/>
  <c r="E2579" i="2"/>
  <c r="E2580" i="2"/>
  <c r="E2581" i="2"/>
  <c r="E2582" i="2"/>
  <c r="E2583" i="2"/>
  <c r="E2584" i="2"/>
  <c r="E2585" i="2"/>
  <c r="E2586" i="2"/>
  <c r="E2587" i="2"/>
  <c r="E2588" i="2"/>
  <c r="E2589" i="2"/>
  <c r="E2590" i="2"/>
  <c r="E2591" i="2"/>
  <c r="E2592" i="2"/>
  <c r="E2593" i="2"/>
  <c r="E2594" i="2"/>
  <c r="E2595" i="2"/>
  <c r="E2596" i="2"/>
  <c r="E2597" i="2"/>
  <c r="E2598" i="2"/>
  <c r="E2599" i="2"/>
  <c r="E2600" i="2"/>
  <c r="E2601" i="2"/>
  <c r="E2602" i="2"/>
  <c r="E2603" i="2"/>
  <c r="E2604" i="2"/>
  <c r="E2605" i="2"/>
  <c r="E2606" i="2"/>
  <c r="E2607" i="2"/>
  <c r="E2608" i="2"/>
  <c r="E2609" i="2"/>
  <c r="E2610" i="2"/>
  <c r="E2611" i="2"/>
  <c r="E2612" i="2"/>
  <c r="E2613" i="2"/>
  <c r="E2614" i="2"/>
  <c r="E2615" i="2"/>
  <c r="E2616" i="2"/>
  <c r="E2617" i="2"/>
  <c r="E2618" i="2"/>
  <c r="E2619" i="2"/>
  <c r="E2620" i="2"/>
  <c r="E2621" i="2"/>
  <c r="E2622" i="2"/>
  <c r="E2623" i="2"/>
  <c r="E2624" i="2"/>
  <c r="E2625" i="2"/>
  <c r="E2626" i="2"/>
  <c r="E2627" i="2"/>
  <c r="E2628" i="2"/>
  <c r="E2629" i="2"/>
  <c r="E2630" i="2"/>
  <c r="E2631" i="2"/>
  <c r="E2632" i="2"/>
  <c r="E2633" i="2"/>
  <c r="E2634" i="2"/>
  <c r="E2635" i="2"/>
  <c r="E2636" i="2"/>
  <c r="E2637" i="2"/>
  <c r="E2638" i="2"/>
  <c r="E2639" i="2"/>
  <c r="E2640" i="2"/>
  <c r="E2641" i="2"/>
  <c r="E2642" i="2"/>
  <c r="E2643" i="2"/>
  <c r="E2644" i="2"/>
  <c r="E2645" i="2"/>
  <c r="E2646" i="2"/>
  <c r="E2647" i="2"/>
  <c r="E2648" i="2"/>
  <c r="E2649" i="2"/>
  <c r="E2650" i="2"/>
  <c r="E2651" i="2"/>
  <c r="E2652" i="2"/>
  <c r="E2653" i="2"/>
  <c r="E2654" i="2"/>
  <c r="E2655" i="2"/>
  <c r="E2656" i="2"/>
  <c r="E2657" i="2"/>
  <c r="E2658" i="2"/>
  <c r="E2659" i="2"/>
  <c r="E2660" i="2"/>
  <c r="E2661" i="2"/>
  <c r="E2662" i="2"/>
  <c r="E2663" i="2"/>
  <c r="E2664" i="2"/>
  <c r="E2665" i="2"/>
  <c r="E2666" i="2"/>
  <c r="E2667" i="2"/>
  <c r="E2668" i="2"/>
  <c r="E2669" i="2"/>
  <c r="E2670" i="2"/>
  <c r="E2671" i="2"/>
  <c r="E2672" i="2"/>
  <c r="E2673" i="2"/>
  <c r="E2674" i="2"/>
  <c r="E2675" i="2"/>
  <c r="E2676" i="2"/>
  <c r="E2677" i="2"/>
  <c r="E2678" i="2"/>
  <c r="E2679" i="2"/>
  <c r="E2680" i="2"/>
  <c r="E2681" i="2"/>
  <c r="E2682" i="2"/>
  <c r="E2683" i="2"/>
  <c r="E2684" i="2"/>
  <c r="E2685" i="2"/>
  <c r="E2686" i="2"/>
  <c r="E2687" i="2"/>
  <c r="E2688" i="2"/>
  <c r="E2689" i="2"/>
  <c r="E2690" i="2"/>
  <c r="E2691" i="2"/>
  <c r="E2692" i="2"/>
  <c r="E2693" i="2"/>
  <c r="E2694" i="2"/>
  <c r="E2695" i="2"/>
  <c r="E2696" i="2"/>
  <c r="E2697" i="2"/>
  <c r="E2698" i="2"/>
  <c r="E2699" i="2"/>
  <c r="E2700" i="2"/>
  <c r="E2701" i="2"/>
  <c r="E2702" i="2"/>
  <c r="E2703" i="2"/>
  <c r="E2704" i="2"/>
  <c r="E2705" i="2"/>
  <c r="E2706" i="2"/>
  <c r="E2707" i="2"/>
  <c r="E2708" i="2"/>
  <c r="E2709" i="2"/>
  <c r="E2710" i="2"/>
  <c r="E2711" i="2"/>
  <c r="E2712" i="2"/>
  <c r="E2713" i="2"/>
  <c r="E2714" i="2"/>
  <c r="E2715" i="2"/>
  <c r="E2716" i="2"/>
  <c r="E2717" i="2"/>
  <c r="E2718" i="2"/>
  <c r="E2719" i="2"/>
  <c r="E2720" i="2"/>
  <c r="E2721" i="2"/>
  <c r="E2722" i="2"/>
  <c r="E2723" i="2"/>
  <c r="E2724" i="2"/>
  <c r="E2725" i="2"/>
  <c r="E2726" i="2"/>
  <c r="E2727" i="2"/>
  <c r="E2728" i="2"/>
  <c r="E2729" i="2"/>
  <c r="E2730" i="2"/>
  <c r="E2731" i="2"/>
  <c r="E2732" i="2"/>
  <c r="E2733" i="2"/>
  <c r="E2734" i="2"/>
  <c r="E2735" i="2"/>
  <c r="E2736" i="2"/>
  <c r="E2737" i="2"/>
  <c r="E2738" i="2"/>
  <c r="E2739" i="2"/>
  <c r="E2740" i="2"/>
  <c r="E2741" i="2"/>
  <c r="E2742" i="2"/>
  <c r="E2743" i="2"/>
  <c r="E2744" i="2"/>
  <c r="E2745" i="2"/>
  <c r="E2746" i="2"/>
  <c r="E2747" i="2"/>
  <c r="E2748" i="2"/>
  <c r="E2749" i="2"/>
  <c r="E2750" i="2"/>
  <c r="E2751" i="2"/>
  <c r="E2752" i="2"/>
  <c r="E2753" i="2"/>
  <c r="E2754" i="2"/>
  <c r="E2755" i="2"/>
  <c r="E2756" i="2"/>
  <c r="E2757" i="2"/>
  <c r="E2758" i="2"/>
  <c r="E2759" i="2"/>
  <c r="E2760" i="2"/>
  <c r="E2761" i="2"/>
  <c r="E2762" i="2"/>
  <c r="E2763" i="2"/>
  <c r="E2764" i="2"/>
  <c r="E2765" i="2"/>
  <c r="E2766" i="2"/>
  <c r="E2767" i="2"/>
  <c r="E2768" i="2"/>
  <c r="E2769" i="2"/>
  <c r="E2770" i="2"/>
  <c r="E2771" i="2"/>
  <c r="E2772" i="2"/>
  <c r="E2773" i="2"/>
  <c r="E2774" i="2"/>
  <c r="E2775" i="2"/>
  <c r="E2776" i="2"/>
  <c r="E2777" i="2"/>
  <c r="E2778" i="2"/>
  <c r="E2779" i="2"/>
  <c r="E2780" i="2"/>
  <c r="E2781" i="2"/>
  <c r="E2782" i="2"/>
  <c r="E2783" i="2"/>
  <c r="E2784" i="2"/>
  <c r="E2785" i="2"/>
  <c r="E2786" i="2"/>
  <c r="E2787" i="2"/>
  <c r="E2788" i="2"/>
  <c r="E2789" i="2"/>
  <c r="E2790" i="2"/>
  <c r="E2791" i="2"/>
  <c r="E2792" i="2"/>
  <c r="E2793" i="2"/>
  <c r="E2794" i="2"/>
  <c r="E2795" i="2"/>
  <c r="E2796" i="2"/>
  <c r="E2797" i="2"/>
  <c r="E2798" i="2"/>
  <c r="E2799" i="2"/>
  <c r="E2800" i="2"/>
  <c r="E2801" i="2"/>
  <c r="E2802" i="2"/>
  <c r="E2803" i="2"/>
  <c r="E2804" i="2"/>
  <c r="E2805" i="2"/>
  <c r="E2806" i="2"/>
  <c r="E2807" i="2"/>
  <c r="E2808" i="2"/>
  <c r="E2809" i="2"/>
  <c r="E2810" i="2"/>
  <c r="E2811" i="2"/>
  <c r="E2812" i="2"/>
  <c r="E2813" i="2"/>
  <c r="E2814" i="2"/>
  <c r="E2815" i="2"/>
  <c r="E2816" i="2"/>
  <c r="E2817" i="2"/>
  <c r="E2818" i="2"/>
  <c r="E2819" i="2"/>
  <c r="E2820" i="2"/>
  <c r="E2821" i="2"/>
  <c r="E2822" i="2"/>
  <c r="E2823" i="2"/>
  <c r="E2824" i="2"/>
  <c r="E2825" i="2"/>
  <c r="E2826" i="2"/>
  <c r="E2827" i="2"/>
  <c r="E2828" i="2"/>
  <c r="E2829" i="2"/>
  <c r="E2830" i="2"/>
  <c r="E2831" i="2"/>
  <c r="E2832" i="2"/>
  <c r="E2833" i="2"/>
  <c r="E2834" i="2"/>
  <c r="E2835" i="2"/>
  <c r="E2836" i="2"/>
  <c r="E2837" i="2"/>
  <c r="E2838" i="2"/>
  <c r="E2839" i="2"/>
  <c r="E2840" i="2"/>
  <c r="E2841" i="2"/>
  <c r="E2842" i="2"/>
  <c r="E2843" i="2"/>
  <c r="E2844" i="2"/>
  <c r="E2845" i="2"/>
  <c r="E2846" i="2"/>
  <c r="E2847" i="2"/>
  <c r="E2848" i="2"/>
  <c r="E2849" i="2"/>
  <c r="E2850" i="2"/>
  <c r="E2851" i="2"/>
  <c r="E2852" i="2"/>
  <c r="E2853" i="2"/>
  <c r="E2854" i="2"/>
  <c r="E2855" i="2"/>
  <c r="E2856" i="2"/>
  <c r="E2857" i="2"/>
  <c r="E2858" i="2"/>
  <c r="E2859" i="2"/>
  <c r="E2860" i="2"/>
  <c r="E2861" i="2"/>
  <c r="E2862" i="2"/>
  <c r="E2863" i="2"/>
  <c r="E2864" i="2"/>
  <c r="E2865" i="2"/>
  <c r="E2866" i="2"/>
  <c r="E2867" i="2"/>
  <c r="E2868" i="2"/>
  <c r="E2869" i="2"/>
  <c r="E2870" i="2"/>
  <c r="E2871" i="2"/>
  <c r="E2872" i="2"/>
  <c r="E2873" i="2"/>
  <c r="E2874" i="2"/>
  <c r="E2875" i="2"/>
  <c r="E2876" i="2"/>
  <c r="E2877" i="2"/>
  <c r="E2878" i="2"/>
  <c r="E2879" i="2"/>
  <c r="E2880" i="2"/>
  <c r="E2881" i="2"/>
  <c r="E2882" i="2"/>
  <c r="E2883" i="2"/>
  <c r="E2884" i="2"/>
  <c r="E2885" i="2"/>
  <c r="E2886" i="2"/>
  <c r="E2887" i="2"/>
  <c r="E2888" i="2"/>
  <c r="E2889" i="2"/>
  <c r="E2890" i="2"/>
  <c r="E2891" i="2"/>
  <c r="E2892" i="2"/>
  <c r="E2893" i="2"/>
  <c r="E2894" i="2"/>
  <c r="E2895" i="2"/>
  <c r="E2896" i="2"/>
  <c r="E2897" i="2"/>
  <c r="E2898" i="2"/>
  <c r="E2899" i="2"/>
  <c r="E2900" i="2"/>
  <c r="E2901" i="2"/>
  <c r="E2902" i="2"/>
  <c r="E2903" i="2"/>
  <c r="E2904" i="2"/>
  <c r="E2905" i="2"/>
  <c r="E2906" i="2"/>
  <c r="E2907" i="2"/>
  <c r="E2908" i="2"/>
  <c r="E2909" i="2"/>
  <c r="E2910" i="2"/>
  <c r="E2911" i="2"/>
  <c r="E2912" i="2"/>
  <c r="E2913" i="2"/>
  <c r="E2914" i="2"/>
  <c r="E2915" i="2"/>
  <c r="E2916" i="2"/>
  <c r="E2917" i="2"/>
  <c r="E2918" i="2"/>
  <c r="E2919" i="2"/>
  <c r="E2920" i="2"/>
  <c r="E2921" i="2"/>
  <c r="E2922" i="2"/>
  <c r="E2923" i="2"/>
  <c r="E2924" i="2"/>
  <c r="E2925" i="2"/>
  <c r="E2926" i="2"/>
  <c r="E2927" i="2"/>
  <c r="E2928" i="2"/>
  <c r="E2929" i="2"/>
  <c r="E2930" i="2"/>
  <c r="E2931" i="2"/>
  <c r="E2932" i="2"/>
  <c r="E2933" i="2"/>
  <c r="E2934" i="2"/>
  <c r="E2935" i="2"/>
  <c r="E2936" i="2"/>
  <c r="E2937" i="2"/>
  <c r="E2938" i="2"/>
  <c r="E2939" i="2"/>
  <c r="E2940" i="2"/>
  <c r="E2941" i="2"/>
  <c r="E2942" i="2"/>
  <c r="E2943" i="2"/>
  <c r="E2944" i="2"/>
  <c r="E2945" i="2"/>
  <c r="E2946" i="2"/>
  <c r="E2947" i="2"/>
  <c r="E2948" i="2"/>
  <c r="E2949" i="2"/>
  <c r="E2950" i="2"/>
  <c r="E2951" i="2"/>
  <c r="E2952" i="2"/>
  <c r="E2953" i="2"/>
  <c r="E2954" i="2"/>
  <c r="E2955" i="2"/>
  <c r="E2956" i="2"/>
  <c r="E2957" i="2"/>
  <c r="E2958" i="2"/>
  <c r="E2959" i="2"/>
  <c r="E2960" i="2"/>
  <c r="E2961" i="2"/>
  <c r="E2962" i="2"/>
  <c r="E2963" i="2"/>
  <c r="E2964" i="2"/>
  <c r="E2965" i="2"/>
  <c r="E2966" i="2"/>
  <c r="E2967" i="2"/>
  <c r="E2968" i="2"/>
  <c r="E2969" i="2"/>
  <c r="E2970" i="2"/>
  <c r="E2971" i="2"/>
  <c r="E2972" i="2"/>
  <c r="E2973" i="2"/>
  <c r="E2974" i="2"/>
  <c r="E2975" i="2"/>
  <c r="E2976" i="2"/>
  <c r="E2977" i="2"/>
  <c r="E2978" i="2"/>
  <c r="E2979" i="2"/>
  <c r="E2980" i="2"/>
  <c r="E2981" i="2"/>
  <c r="E2982" i="2"/>
  <c r="E2983" i="2"/>
  <c r="E2984" i="2"/>
  <c r="E2985" i="2"/>
  <c r="E2986" i="2"/>
  <c r="E2987" i="2"/>
  <c r="E2988" i="2"/>
  <c r="E2989" i="2"/>
  <c r="E2990" i="2"/>
  <c r="E2991" i="2"/>
  <c r="E2992" i="2"/>
  <c r="E2993" i="2"/>
  <c r="E2994" i="2"/>
  <c r="E2995" i="2"/>
  <c r="E2996" i="2"/>
  <c r="E2997" i="2"/>
  <c r="E2998" i="2"/>
  <c r="E2999" i="2"/>
  <c r="E3000" i="2"/>
  <c r="E3001" i="2"/>
  <c r="E3002" i="2"/>
  <c r="E3003" i="2"/>
  <c r="E3004" i="2"/>
  <c r="E3005" i="2"/>
  <c r="E3006" i="2"/>
  <c r="E3007" i="2"/>
  <c r="E3008" i="2"/>
  <c r="E3009" i="2"/>
  <c r="E3010" i="2"/>
  <c r="E3011" i="2"/>
  <c r="E3012" i="2"/>
  <c r="E3013" i="2"/>
  <c r="E3014" i="2"/>
  <c r="E3015" i="2"/>
  <c r="E3016" i="2"/>
  <c r="E3017" i="2"/>
  <c r="E3018" i="2"/>
  <c r="E3019" i="2"/>
  <c r="E3020" i="2"/>
  <c r="E3021" i="2"/>
  <c r="E3022" i="2"/>
  <c r="E3023" i="2"/>
  <c r="E3024" i="2"/>
  <c r="E3025" i="2"/>
  <c r="E3026" i="2"/>
  <c r="E3027" i="2"/>
  <c r="E3028" i="2"/>
  <c r="E3029" i="2"/>
  <c r="E3030" i="2"/>
  <c r="E3031" i="2"/>
  <c r="E3032" i="2"/>
  <c r="E3033" i="2"/>
  <c r="E3034" i="2"/>
  <c r="E3035" i="2"/>
  <c r="E3036" i="2"/>
  <c r="E3037" i="2"/>
  <c r="E3038" i="2"/>
  <c r="E3039" i="2"/>
  <c r="E3040" i="2"/>
  <c r="E3041" i="2"/>
  <c r="E3042" i="2"/>
  <c r="E3043" i="2"/>
  <c r="E3044" i="2"/>
  <c r="E3045" i="2"/>
  <c r="E3046" i="2"/>
  <c r="E3047" i="2"/>
  <c r="E3048" i="2"/>
  <c r="E3049" i="2"/>
  <c r="E3050" i="2"/>
  <c r="E3051" i="2"/>
  <c r="E3052" i="2"/>
  <c r="E3053" i="2"/>
  <c r="E3054" i="2"/>
  <c r="E3055" i="2"/>
  <c r="E3056" i="2"/>
  <c r="E3057" i="2"/>
  <c r="E3058" i="2"/>
  <c r="E3059" i="2"/>
  <c r="E3060" i="2"/>
  <c r="E3061" i="2"/>
  <c r="E3062" i="2"/>
  <c r="E3063" i="2"/>
  <c r="E3064" i="2"/>
  <c r="E3065" i="2"/>
  <c r="E3066" i="2"/>
  <c r="E3067" i="2"/>
  <c r="E3068" i="2"/>
  <c r="E3069" i="2"/>
  <c r="E3070" i="2"/>
  <c r="E3071" i="2"/>
  <c r="E3072" i="2"/>
  <c r="E3073" i="2"/>
  <c r="E3074" i="2"/>
  <c r="E3075" i="2"/>
  <c r="E3076" i="2"/>
</calcChain>
</file>

<file path=xl/sharedStrings.xml><?xml version="1.0" encoding="utf-8"?>
<sst xmlns="http://schemas.openxmlformats.org/spreadsheetml/2006/main" count="12309" uniqueCount="8379">
  <si>
    <t>国名</t>
  </si>
  <si>
    <t>公告期</t>
  </si>
  <si>
    <t>発表日</t>
  </si>
  <si>
    <t>商標番号</t>
  </si>
  <si>
    <t>商標名称</t>
  </si>
  <si>
    <t>申請人</t>
  </si>
  <si>
    <t>商品</t>
  </si>
  <si>
    <t>申請日</t>
  </si>
  <si>
    <t>No.</t>
    <phoneticPr fontId="1"/>
  </si>
  <si>
    <t>中国</t>
  </si>
  <si>
    <t>葡萄酒</t>
  </si>
  <si>
    <t>SCOTTISH FRIEND</t>
  </si>
  <si>
    <t>格拉斯哥威士忌有限公司</t>
  </si>
  <si>
    <r>
      <t xml:space="preserve">利口酒;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威士忌</t>
    </r>
  </si>
  <si>
    <t>1号桌</t>
  </si>
  <si>
    <r>
      <t>成都</t>
    </r>
    <r>
      <rPr>
        <sz val="11"/>
        <color theme="1"/>
        <rFont val="ＭＳ Ｐゴシック"/>
        <family val="3"/>
        <charset val="134"/>
        <scheme val="minor"/>
      </rPr>
      <t>兴</t>
    </r>
    <r>
      <rPr>
        <sz val="11"/>
        <color theme="1"/>
        <rFont val="ＭＳ Ｐゴシック"/>
        <family val="3"/>
        <charset val="128"/>
        <scheme val="minor"/>
      </rPr>
      <t>泰智高生物科技有限公司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</si>
  <si>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含酒精的充气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利口酒;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含酒精的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尾酒混合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品; 开胃酒;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</t>
    </r>
  </si>
  <si>
    <r>
      <t>人</t>
    </r>
    <r>
      <rPr>
        <sz val="11"/>
        <color theme="1"/>
        <rFont val="ＭＳ Ｐゴシック"/>
        <family val="3"/>
        <charset val="134"/>
        <scheme val="minor"/>
      </rPr>
      <t>间</t>
    </r>
    <r>
      <rPr>
        <sz val="11"/>
        <color theme="1"/>
        <rFont val="ＭＳ Ｐゴシック"/>
        <family val="3"/>
        <charset val="128"/>
        <scheme val="minor"/>
      </rPr>
      <t>西湖北高峰</t>
    </r>
  </si>
  <si>
    <r>
      <t>杭州市食品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造有限公司</t>
    </r>
  </si>
  <si>
    <r>
      <t>黄酒; 白酒; 米酒;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五加皮酒（中国混合烈酒）; 佐餐酒;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</si>
  <si>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EROS</t>
  </si>
  <si>
    <r>
      <t>上海</t>
    </r>
    <r>
      <rPr>
        <sz val="11"/>
        <color theme="1"/>
        <rFont val="ＭＳ Ｐゴシック"/>
        <family val="3"/>
        <charset val="134"/>
        <scheme val="minor"/>
      </rPr>
      <t>爱</t>
    </r>
    <r>
      <rPr>
        <sz val="11"/>
        <color theme="1"/>
        <rFont val="ＭＳ Ｐゴシック"/>
        <family val="3"/>
        <charset val="128"/>
        <scheme val="minor"/>
      </rPr>
      <t>洛星食品有限公司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</si>
  <si>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开胃酒; 水果汽酒;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果酒（含酒精）; 葡萄酒; 白酒; 伏特加酒</t>
    </r>
  </si>
  <si>
    <t>皇家活力源</t>
  </si>
  <si>
    <r>
      <t>河南省五粮神酒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</si>
  <si>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果酒（含酒精）;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蜂蜜酒;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</t>
    </r>
  </si>
  <si>
    <r>
      <t>图</t>
    </r>
    <r>
      <rPr>
        <sz val="11"/>
        <color theme="1"/>
        <rFont val="ＭＳ Ｐゴシック"/>
        <family val="3"/>
        <charset val="128"/>
        <scheme val="minor"/>
      </rPr>
      <t>形</t>
    </r>
  </si>
  <si>
    <r>
      <t>北京常生国</t>
    </r>
    <r>
      <rPr>
        <sz val="11"/>
        <color theme="1"/>
        <rFont val="ＭＳ Ｐゴシック"/>
        <family val="3"/>
        <charset val="134"/>
        <scheme val="minor"/>
      </rPr>
      <t>际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</si>
  <si>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薄荷酒; 果酒（含酒精）; 开胃酒; 苹果酒;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威士忌; 朗姆酒;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</si>
  <si>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ALEXANDREMA</t>
  </si>
  <si>
    <r>
      <t>马</t>
    </r>
    <r>
      <rPr>
        <sz val="11"/>
        <color theme="1"/>
        <rFont val="ＭＳ Ｐゴシック"/>
        <family val="3"/>
        <charset val="128"/>
        <scheme val="minor"/>
      </rPr>
      <t>先辰</t>
    </r>
  </si>
  <si>
    <r>
      <t>开胃酒; 利口酒; 蜂蜜酒; 蒸煮提取物（利口酒和烈酒）; 威士忌;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</t>
    </r>
  </si>
  <si>
    <t>烟花三月</t>
  </si>
  <si>
    <r>
      <t>扬</t>
    </r>
    <r>
      <rPr>
        <sz val="11"/>
        <color theme="1"/>
        <rFont val="ＭＳ Ｐゴシック"/>
        <family val="3"/>
        <charset val="128"/>
        <scheme val="minor"/>
      </rPr>
      <t>州市烟花三月商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</si>
  <si>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汽酒; 米酒; 白酒; 薄荷酒; 利口酒; 葡萄酒; 清酒;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</si>
  <si>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白小宇</t>
  </si>
  <si>
    <t>拇指衣橱（浙江）服装科技有限公司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</si>
  <si>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开胃酒;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餐后酒（利口酒和烈酒）;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</si>
  <si>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AHA</t>
  </si>
  <si>
    <r>
      <t>啊哈</t>
    </r>
    <r>
      <rPr>
        <sz val="11"/>
        <color theme="1"/>
        <rFont val="ＭＳ Ｐゴシック"/>
        <family val="3"/>
        <charset val="134"/>
        <scheme val="minor"/>
      </rPr>
      <t>娱乐</t>
    </r>
    <r>
      <rPr>
        <sz val="11"/>
        <color theme="1"/>
        <rFont val="ＭＳ Ｐゴシック"/>
        <family val="3"/>
        <charset val="128"/>
        <scheme val="minor"/>
      </rPr>
      <t>(上海)有限公司</t>
    </r>
  </si>
  <si>
    <r>
      <t>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朗姆酒; 餐后酒（利口酒和烈酒）; 威士忌</t>
    </r>
  </si>
  <si>
    <r>
      <t>海南云</t>
    </r>
    <r>
      <rPr>
        <sz val="11"/>
        <color theme="1"/>
        <rFont val="ＭＳ Ｐゴシック"/>
        <family val="3"/>
        <charset val="134"/>
        <scheme val="minor"/>
      </rPr>
      <t>仓</t>
    </r>
    <r>
      <rPr>
        <sz val="11"/>
        <color theme="1"/>
        <rFont val="ＭＳ Ｐゴシック"/>
        <family val="3"/>
        <charset val="128"/>
        <scheme val="minor"/>
      </rPr>
      <t>酒庄有限公司</t>
    </r>
  </si>
  <si>
    <r>
      <t>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蒸煮提取物（利口酒和烈酒）; 葡萄酒; 黄酒; 开胃酒;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</si>
  <si>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开胃酒;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蒸煮提取物（利口酒和烈酒）;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黄酒</t>
    </r>
  </si>
  <si>
    <t>托拉比卡</t>
  </si>
  <si>
    <r>
      <t>爱</t>
    </r>
    <r>
      <rPr>
        <sz val="11"/>
        <color theme="1"/>
        <rFont val="ＭＳ Ｐゴシック"/>
        <family val="3"/>
        <charset val="128"/>
        <scheme val="minor"/>
      </rPr>
      <t>利特黄金（上海）有限公司</t>
    </r>
  </si>
  <si>
    <r>
      <t>咖啡利口酒; 米酒; 白酒; 葡萄酒; 含酒精的充气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利口酒; 果酒（含酒精）;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甜酒</t>
    </r>
  </si>
  <si>
    <r>
      <t>福建同元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旺文化古</t>
    </r>
    <r>
      <rPr>
        <sz val="11"/>
        <color theme="1"/>
        <rFont val="ＭＳ Ｐゴシック"/>
        <family val="3"/>
        <charset val="134"/>
        <scheme val="minor"/>
      </rPr>
      <t>镇</t>
    </r>
    <r>
      <rPr>
        <sz val="11"/>
        <color theme="1"/>
        <rFont val="ＭＳ Ｐゴシック"/>
        <family val="3"/>
        <charset val="128"/>
        <scheme val="minor"/>
      </rPr>
      <t>旅游开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</si>
  <si>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白酒; 清酒（日本米酒）;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汽酒</t>
    </r>
  </si>
  <si>
    <t>BEAR LIFE</t>
  </si>
  <si>
    <r>
      <t>上海米居网</t>
    </r>
    <r>
      <rPr>
        <sz val="11"/>
        <color theme="1"/>
        <rFont val="ＭＳ Ｐゴシック"/>
        <family val="3"/>
        <charset val="134"/>
        <scheme val="minor"/>
      </rPr>
      <t>络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</si>
  <si>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开胃酒;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苹果酒;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米酒</t>
    </r>
  </si>
  <si>
    <t>三百千</t>
  </si>
  <si>
    <r>
      <t>安徽</t>
    </r>
    <r>
      <rPr>
        <sz val="11"/>
        <color theme="1"/>
        <rFont val="ＭＳ Ｐゴシック"/>
        <family val="3"/>
        <charset val="134"/>
        <scheme val="minor"/>
      </rPr>
      <t>论</t>
    </r>
    <r>
      <rPr>
        <sz val="11"/>
        <color theme="1"/>
        <rFont val="ＭＳ Ｐゴシック"/>
        <family val="3"/>
        <charset val="128"/>
        <scheme val="minor"/>
      </rPr>
      <t>道酒</t>
    </r>
    <r>
      <rPr>
        <sz val="11"/>
        <color theme="1"/>
        <rFont val="ＭＳ Ｐゴシック"/>
        <family val="3"/>
        <charset val="134"/>
        <scheme val="minor"/>
      </rPr>
      <t>业销</t>
    </r>
    <r>
      <rPr>
        <sz val="11"/>
        <color theme="1"/>
        <rFont val="ＭＳ Ｐゴシック"/>
        <family val="3"/>
        <charset val="128"/>
        <scheme val="minor"/>
      </rPr>
      <t>售有限公司</t>
    </r>
  </si>
  <si>
    <r>
      <t>黄酒; 米酒; 威士忌;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白酒; 葡萄酒; 清酒（日本米酒）; 伏特加酒;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</si>
  <si>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乾隆状元坊</t>
  </si>
  <si>
    <r>
      <t>成都特安特企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管理咨</t>
    </r>
    <r>
      <rPr>
        <sz val="11"/>
        <color theme="1"/>
        <rFont val="ＭＳ Ｐゴシック"/>
        <family val="3"/>
        <charset val="134"/>
        <scheme val="minor"/>
      </rPr>
      <t>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</si>
  <si>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利口酒;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伏特加酒; 清酒; 青稞酒; 黄酒; 米酒</t>
    </r>
  </si>
  <si>
    <t>恩恩一 酒</t>
  </si>
  <si>
    <t>民族匠心品牌管理（北京）有限公司</t>
  </si>
  <si>
    <r>
      <t>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汽酒;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</t>
    </r>
  </si>
  <si>
    <t>小淳酒粱</t>
  </si>
  <si>
    <r>
      <t>廊坊市淳粱商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</si>
  <si>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甘蔗制酒精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食用酒精; 尼瓦（以甘蔗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利口酒; 白酒</t>
    </r>
  </si>
  <si>
    <r>
      <t>创领</t>
    </r>
    <r>
      <rPr>
        <sz val="11"/>
        <color theme="1"/>
        <rFont val="ＭＳ Ｐゴシック"/>
        <family val="3"/>
        <charset val="128"/>
        <scheme val="minor"/>
      </rPr>
      <t>年份</t>
    </r>
  </si>
  <si>
    <r>
      <t>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国井控股集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</si>
  <si>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清酒（日本米酒）; 黄酒; 烈酒; 白酒; 葡萄酒</t>
    </r>
  </si>
  <si>
    <t>教酒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</si>
  <si>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州情景酒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</si>
  <si>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弘 年真</t>
    </r>
    <r>
      <rPr>
        <sz val="11"/>
        <color theme="1"/>
        <rFont val="ＭＳ Ｐゴシック"/>
        <family val="3"/>
        <charset val="134"/>
        <scheme val="minor"/>
      </rPr>
      <t>岁</t>
    </r>
    <r>
      <rPr>
        <sz val="11"/>
        <color theme="1"/>
        <rFont val="ＭＳ Ｐゴシック"/>
        <family val="3"/>
        <charset val="128"/>
        <scheme val="minor"/>
      </rPr>
      <t>藏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</si>
  <si>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州情景最藏酒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</si>
  <si>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得利</t>
    </r>
    <r>
      <rPr>
        <sz val="11"/>
        <color theme="1"/>
        <rFont val="ＭＳ Ｐゴシック"/>
        <family val="3"/>
        <charset val="134"/>
        <scheme val="minor"/>
      </rPr>
      <t>乐</t>
    </r>
  </si>
  <si>
    <r>
      <t>霍金斯分</t>
    </r>
    <r>
      <rPr>
        <sz val="11"/>
        <color theme="1"/>
        <rFont val="ＭＳ Ｐゴシック"/>
        <family val="3"/>
        <charset val="134"/>
        <scheme val="minor"/>
      </rPr>
      <t>销</t>
    </r>
    <r>
      <rPr>
        <sz val="11"/>
        <color theme="1"/>
        <rFont val="ＭＳ Ｐゴシック"/>
        <family val="3"/>
        <charset val="128"/>
        <scheme val="minor"/>
      </rPr>
      <t>公司</t>
    </r>
  </si>
  <si>
    <r>
      <t>烈酒;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</si>
  <si>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豊秋</t>
  </si>
  <si>
    <t>米田酒造株式会社</t>
  </si>
  <si>
    <r>
      <t xml:space="preserve">清酒（日本米酒）; 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甜酒; 日式甜米酒; 清酒; 米酒</t>
    </r>
  </si>
  <si>
    <t>小蛮女夭</t>
  </si>
  <si>
    <r>
      <t>青</t>
    </r>
    <r>
      <rPr>
        <sz val="11"/>
        <color theme="1"/>
        <rFont val="ＭＳ Ｐゴシック"/>
        <family val="3"/>
        <charset val="134"/>
        <scheme val="minor"/>
      </rPr>
      <t>岛</t>
    </r>
    <r>
      <rPr>
        <sz val="11"/>
        <color theme="1"/>
        <rFont val="ＭＳ Ｐゴシック"/>
        <family val="3"/>
        <charset val="128"/>
        <scheme val="minor"/>
      </rPr>
      <t>裕丰酒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</si>
  <si>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伏特加酒; 果酒（含酒精）;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利口酒; 烈酒; 葡萄酒;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</si>
  <si>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珞瑞</t>
  </si>
  <si>
    <r>
      <t>艾哈德-海特林格葡萄酒</t>
    </r>
    <r>
      <rPr>
        <sz val="11"/>
        <color theme="1"/>
        <rFont val="ＭＳ Ｐゴシック"/>
        <family val="3"/>
        <charset val="134"/>
        <scheme val="minor"/>
      </rPr>
      <t>业务</t>
    </r>
    <r>
      <rPr>
        <sz val="11"/>
        <color theme="1"/>
        <rFont val="ＭＳ Ｐゴシック"/>
        <family val="3"/>
        <charset val="128"/>
        <scheme val="minor"/>
      </rPr>
      <t>咨</t>
    </r>
    <r>
      <rPr>
        <sz val="11"/>
        <color theme="1"/>
        <rFont val="ＭＳ Ｐゴシック"/>
        <family val="3"/>
        <charset val="134"/>
        <scheme val="minor"/>
      </rPr>
      <t>询</t>
    </r>
    <r>
      <rPr>
        <sz val="11"/>
        <color theme="1"/>
        <rFont val="ＭＳ Ｐゴシック"/>
        <family val="3"/>
        <charset val="128"/>
        <scheme val="minor"/>
      </rPr>
      <t>公司</t>
    </r>
  </si>
  <si>
    <r>
      <t>含葡萄酒的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料（汽酒）; 苦艾酒; 加香料的</t>
    </r>
    <r>
      <rPr>
        <sz val="11"/>
        <color theme="1"/>
        <rFont val="ＭＳ Ｐゴシック"/>
        <family val="3"/>
        <charset val="134"/>
        <scheme val="minor"/>
      </rPr>
      <t>热</t>
    </r>
    <r>
      <rPr>
        <sz val="11"/>
        <color theme="1"/>
        <rFont val="ＭＳ Ｐゴシック"/>
        <family val="3"/>
        <charset val="128"/>
        <scheme val="minor"/>
      </rPr>
      <t>葡萄酒;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桃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白葡萄酒; 葡萄酒;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含酒精的葡萄酒</t>
    </r>
  </si>
  <si>
    <t>燕岩</t>
  </si>
  <si>
    <r>
      <t>怀</t>
    </r>
    <r>
      <rPr>
        <sz val="11"/>
        <color theme="1"/>
        <rFont val="ＭＳ Ｐゴシック"/>
        <family val="3"/>
        <charset val="128"/>
        <scheme val="minor"/>
      </rPr>
      <t>集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朝岩景区旅游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</si>
  <si>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 xml:space="preserve">米酒; 葡萄酒; 朗姆酒; 黄酒;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</t>
    </r>
  </si>
  <si>
    <t>燕岩牌</t>
  </si>
  <si>
    <r>
      <t>卡和曼·</t>
    </r>
    <r>
      <rPr>
        <sz val="11"/>
        <color theme="1"/>
        <rFont val="ＭＳ Ｐゴシック"/>
        <family val="3"/>
        <charset val="134"/>
        <scheme val="minor"/>
      </rPr>
      <t>亚</t>
    </r>
    <r>
      <rPr>
        <sz val="11"/>
        <color theme="1"/>
        <rFont val="ＭＳ Ｐゴシック"/>
        <family val="3"/>
        <charset val="128"/>
        <scheme val="minor"/>
      </rPr>
      <t>力昆</t>
    </r>
  </si>
  <si>
    <r>
      <t>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汽酒; 白酒; 威士忌</t>
    </r>
  </si>
  <si>
    <t>玉琮</t>
  </si>
  <si>
    <r>
      <t>杭州大雄寺酒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</si>
  <si>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蒸煮提取物（利口酒和烈酒）;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食用酒精; 清酒; 果酒（含酒精）; 黄酒; 米酒</t>
    </r>
  </si>
  <si>
    <r>
      <t>雪</t>
    </r>
    <r>
      <rPr>
        <sz val="11"/>
        <color theme="1"/>
        <rFont val="ＭＳ Ｐゴシック"/>
        <family val="3"/>
        <charset val="134"/>
        <scheme val="minor"/>
      </rPr>
      <t>莲</t>
    </r>
    <r>
      <rPr>
        <sz val="11"/>
        <color theme="1"/>
        <rFont val="ＭＳ Ｐゴシック"/>
        <family val="3"/>
        <charset val="128"/>
        <scheme val="minor"/>
      </rPr>
      <t>山</t>
    </r>
  </si>
  <si>
    <r>
      <t>王</t>
    </r>
    <r>
      <rPr>
        <sz val="11"/>
        <color theme="1"/>
        <rFont val="ＭＳ Ｐゴシック"/>
        <family val="3"/>
        <charset val="134"/>
        <scheme val="minor"/>
      </rPr>
      <t>义</t>
    </r>
    <r>
      <rPr>
        <sz val="11"/>
        <color theme="1"/>
        <rFont val="ＭＳ Ｐゴシック"/>
        <family val="3"/>
        <charset val="128"/>
        <scheme val="minor"/>
      </rPr>
      <t>霞</t>
    </r>
  </si>
  <si>
    <r>
      <t xml:space="preserve">白酒; 黄酒;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威士忌; 清酒（日本米酒）; 米酒; 葡萄酒</t>
    </r>
  </si>
  <si>
    <r>
      <t>贡</t>
    </r>
    <r>
      <rPr>
        <sz val="11"/>
        <color theme="1"/>
        <rFont val="ＭＳ Ｐゴシック"/>
        <family val="3"/>
        <charset val="128"/>
        <scheme val="minor"/>
      </rPr>
      <t>王宴</t>
    </r>
  </si>
  <si>
    <r>
      <t>镡</t>
    </r>
    <r>
      <rPr>
        <sz val="11"/>
        <color theme="1"/>
        <rFont val="ＭＳ Ｐゴシック"/>
        <family val="3"/>
        <charset val="128"/>
        <scheme val="minor"/>
      </rPr>
      <t>菊</t>
    </r>
    <r>
      <rPr>
        <sz val="11"/>
        <color theme="1"/>
        <rFont val="ＭＳ Ｐゴシック"/>
        <family val="3"/>
        <charset val="134"/>
        <scheme val="minor"/>
      </rPr>
      <t>红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</si>
  <si>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清酒（日本米酒）; 米酒;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威士忌</t>
    </r>
  </si>
  <si>
    <r>
      <t>江</t>
    </r>
    <r>
      <rPr>
        <sz val="11"/>
        <color theme="1"/>
        <rFont val="ＭＳ Ｐゴシック"/>
        <family val="3"/>
        <charset val="134"/>
        <scheme val="minor"/>
      </rPr>
      <t>苏</t>
    </r>
    <r>
      <rPr>
        <sz val="11"/>
        <color theme="1"/>
        <rFont val="ＭＳ Ｐゴシック"/>
        <family val="3"/>
        <charset val="128"/>
        <scheme val="minor"/>
      </rPr>
      <t>尚海企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管理（集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）有限公司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</si>
  <si>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清酒（日本米酒）</t>
    </r>
  </si>
  <si>
    <t>TIME：SPACE</t>
  </si>
  <si>
    <r>
      <t>麦卡</t>
    </r>
    <r>
      <rPr>
        <sz val="11"/>
        <color theme="1"/>
        <rFont val="ＭＳ Ｐゴシック"/>
        <family val="3"/>
        <charset val="134"/>
        <scheme val="minor"/>
      </rPr>
      <t>伦</t>
    </r>
    <r>
      <rPr>
        <sz val="11"/>
        <color theme="1"/>
        <rFont val="ＭＳ Ｐゴシック"/>
        <family val="3"/>
        <charset val="128"/>
        <scheme val="minor"/>
      </rPr>
      <t>酒厂</t>
    </r>
  </si>
  <si>
    <r>
      <t>威士忌; 混合威士忌酒;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威士忌利口酒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</si>
  <si>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34"/>
        <scheme val="minor"/>
      </rPr>
      <t>红缨</t>
    </r>
    <r>
      <rPr>
        <sz val="11"/>
        <color theme="1"/>
        <rFont val="ＭＳ Ｐゴシック"/>
        <family val="3"/>
        <charset val="128"/>
        <scheme val="minor"/>
      </rPr>
      <t>子酒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</si>
  <si>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酒（烈酒）; 葡萄酒; 梨酒; 利口酒; 白酒; 米酒; 白干酒（中国白酒）;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烈酒; 蜂蜜酒</t>
    </r>
  </si>
  <si>
    <r>
      <t>颂</t>
    </r>
    <r>
      <rPr>
        <sz val="11"/>
        <color theme="1"/>
        <rFont val="ＭＳ Ｐゴシック"/>
        <family val="3"/>
        <charset val="128"/>
        <scheme val="minor"/>
      </rPr>
      <t>粮</t>
    </r>
    <r>
      <rPr>
        <sz val="11"/>
        <color theme="1"/>
        <rFont val="ＭＳ Ｐゴシック"/>
        <family val="3"/>
        <charset val="134"/>
        <scheme val="minor"/>
      </rPr>
      <t>缘</t>
    </r>
  </si>
  <si>
    <r>
      <t>山</t>
    </r>
    <r>
      <rPr>
        <sz val="11"/>
        <color theme="1"/>
        <rFont val="ＭＳ Ｐゴシック"/>
        <family val="3"/>
        <charset val="134"/>
        <scheme val="minor"/>
      </rPr>
      <t>东颂</t>
    </r>
    <r>
      <rPr>
        <sz val="11"/>
        <color theme="1"/>
        <rFont val="ＭＳ Ｐゴシック"/>
        <family val="3"/>
        <charset val="128"/>
        <scheme val="minor"/>
      </rPr>
      <t>粮</t>
    </r>
    <r>
      <rPr>
        <sz val="11"/>
        <color theme="1"/>
        <rFont val="ＭＳ Ｐゴシック"/>
        <family val="3"/>
        <charset val="134"/>
        <scheme val="minor"/>
      </rPr>
      <t>缘</t>
    </r>
    <r>
      <rPr>
        <sz val="11"/>
        <color theme="1"/>
        <rFont val="ＭＳ Ｐゴシック"/>
        <family val="3"/>
        <charset val="128"/>
        <scheme val="minor"/>
      </rPr>
      <t>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</si>
  <si>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五加皮酒（中国混合烈酒）; 白干酒（中国白酒）; 高粱酒;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青稞酒; 梅酒; 白酒; 葡萄酒</t>
    </r>
  </si>
  <si>
    <t>THE SINGLETON PERFECTLY BALANCED</t>
  </si>
  <si>
    <r>
      <t>黛</t>
    </r>
    <r>
      <rPr>
        <sz val="11"/>
        <color theme="1"/>
        <rFont val="ＭＳ Ｐゴシック"/>
        <family val="3"/>
        <charset val="134"/>
        <scheme val="minor"/>
      </rPr>
      <t>尔</t>
    </r>
    <r>
      <rPr>
        <sz val="11"/>
        <color theme="1"/>
        <rFont val="ＭＳ Ｐゴシック"/>
        <family val="3"/>
        <charset val="128"/>
        <scheme val="minor"/>
      </rPr>
      <t>吉奥</t>
    </r>
    <r>
      <rPr>
        <sz val="11"/>
        <color theme="1"/>
        <rFont val="ＭＳ Ｐゴシック"/>
        <family val="3"/>
        <charset val="134"/>
        <scheme val="minor"/>
      </rPr>
      <t>苏</t>
    </r>
    <r>
      <rPr>
        <sz val="11"/>
        <color theme="1"/>
        <rFont val="ＭＳ Ｐゴシック"/>
        <family val="3"/>
        <charset val="128"/>
        <scheme val="minor"/>
      </rPr>
      <t>格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</si>
  <si>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</si>
  <si>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晋祥</t>
  </si>
  <si>
    <r>
      <t>张</t>
    </r>
    <r>
      <rPr>
        <sz val="11"/>
        <color theme="1"/>
        <rFont val="ＭＳ Ｐゴシック"/>
        <family val="3"/>
        <charset val="128"/>
        <scheme val="minor"/>
      </rPr>
      <t>旭</t>
    </r>
  </si>
  <si>
    <r>
      <t>果酒（含酒精）;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伏特加酒;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青稞酒; 黄酒; 米酒</t>
    </r>
  </si>
  <si>
    <r>
      <t>怀</t>
    </r>
    <r>
      <rPr>
        <sz val="11"/>
        <color theme="1"/>
        <rFont val="ＭＳ Ｐゴシック"/>
        <family val="3"/>
        <charset val="128"/>
        <scheme val="minor"/>
      </rPr>
      <t>魂</t>
    </r>
  </si>
  <si>
    <r>
      <t>果酒（含酒精）;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清酒（日本米酒）; 白酒; 甘蔗制酒精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</si>
  <si>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古梧国梧桐谷</t>
  </si>
  <si>
    <r>
      <t>淮北市梧桐谷旅游开</t>
    </r>
    <r>
      <rPr>
        <sz val="11"/>
        <color theme="1"/>
        <rFont val="ＭＳ Ｐゴシック"/>
        <family val="3"/>
        <charset val="134"/>
        <scheme val="minor"/>
      </rPr>
      <t>发专业</t>
    </r>
    <r>
      <rPr>
        <sz val="11"/>
        <color theme="1"/>
        <rFont val="ＭＳ Ｐゴシック"/>
        <family val="3"/>
        <charset val="128"/>
        <scheme val="minor"/>
      </rPr>
      <t>合作社</t>
    </r>
  </si>
  <si>
    <r>
      <t>果酒（含酒精）; 开胃酒; 苹果酒; 葡萄酒;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米酒; 汽酒;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</si>
  <si>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JEAN-LUC POUTEAU</t>
  </si>
  <si>
    <r>
      <t>上海卡斯特酒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</si>
  <si>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开胃酒;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清酒; 米酒; 伏特加酒; 果酒（含酒精）; 烈酒;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</si>
  <si>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曹氏父子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</si>
  <si>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市父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子酒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</si>
  <si>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清酒（日本米酒）; 果酒（含酒精）;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</si>
  <si>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御道口</t>
  </si>
  <si>
    <t>王美玲</t>
  </si>
  <si>
    <r>
      <t>白酒; 葡萄酒; 果酒（含酒精）;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蒸煮提取物（利口酒和烈酒）;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</si>
  <si>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AMENY</t>
  </si>
  <si>
    <r>
      <t>北京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美双盈国</t>
    </r>
    <r>
      <rPr>
        <sz val="11"/>
        <color theme="1"/>
        <rFont val="ＭＳ Ｐゴシック"/>
        <family val="3"/>
        <charset val="134"/>
        <scheme val="minor"/>
      </rPr>
      <t>际贸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</si>
  <si>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 xml:space="preserve">朗姆酒;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葡萄酒; 伏特加酒;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开胃酒; 蒸煮提取物（利口酒和烈酒）; 青稞酒;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混合威士忌酒</t>
    </r>
  </si>
  <si>
    <r>
      <t>月韵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坡</t>
    </r>
  </si>
  <si>
    <r>
      <t>杜</t>
    </r>
    <r>
      <rPr>
        <sz val="11"/>
        <color theme="1"/>
        <rFont val="ＭＳ Ｐゴシック"/>
        <family val="3"/>
        <charset val="134"/>
        <scheme val="minor"/>
      </rPr>
      <t>卫</t>
    </r>
    <r>
      <rPr>
        <sz val="11"/>
        <color theme="1"/>
        <rFont val="ＭＳ Ｐゴシック"/>
        <family val="3"/>
        <charset val="128"/>
        <scheme val="minor"/>
      </rPr>
      <t>国</t>
    </r>
  </si>
  <si>
    <r>
      <t>白干酒（中国白酒）;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 xml:space="preserve">酒; 青梅酒;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梅酒; 高粱酒; 草莓酒; 白酒; 果酒</t>
    </r>
  </si>
  <si>
    <r>
      <t>东</t>
    </r>
    <r>
      <rPr>
        <sz val="11"/>
        <color theme="1"/>
        <rFont val="ＭＳ Ｐゴシック"/>
        <family val="3"/>
        <charset val="128"/>
        <scheme val="minor"/>
      </rPr>
      <t>方之</t>
    </r>
    <r>
      <rPr>
        <sz val="11"/>
        <color theme="1"/>
        <rFont val="ＭＳ Ｐゴシック"/>
        <family val="3"/>
        <charset val="134"/>
        <scheme val="minor"/>
      </rPr>
      <t>兴</t>
    </r>
  </si>
  <si>
    <r>
      <t>新吴区梅村</t>
    </r>
    <r>
      <rPr>
        <sz val="11"/>
        <color theme="1"/>
        <rFont val="ＭＳ Ｐゴシック"/>
        <family val="3"/>
        <charset val="134"/>
        <scheme val="minor"/>
      </rPr>
      <t>忆</t>
    </r>
    <r>
      <rPr>
        <sz val="11"/>
        <color theme="1"/>
        <rFont val="ＭＳ Ｐゴシック"/>
        <family val="3"/>
        <charset val="128"/>
        <scheme val="minor"/>
      </rPr>
      <t>碗豆花店</t>
    </r>
  </si>
  <si>
    <r>
      <t xml:space="preserve">汽酒;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葡萄酒;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白酒; 果酒（含酒精）; 米酒</t>
    </r>
  </si>
  <si>
    <t>年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</si>
  <si>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州善牌酒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</si>
  <si>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果酒（含酒精）;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米酒</t>
    </r>
  </si>
  <si>
    <r>
      <t>树</t>
    </r>
    <r>
      <rPr>
        <sz val="11"/>
        <color theme="1"/>
        <rFont val="ＭＳ Ｐゴシック"/>
        <family val="3"/>
        <charset val="128"/>
        <scheme val="minor"/>
      </rPr>
      <t>藤</t>
    </r>
  </si>
  <si>
    <r>
      <t>江</t>
    </r>
    <r>
      <rPr>
        <sz val="11"/>
        <color theme="1"/>
        <rFont val="ＭＳ Ｐゴシック"/>
        <family val="3"/>
        <charset val="134"/>
        <scheme val="minor"/>
      </rPr>
      <t>苏</t>
    </r>
    <r>
      <rPr>
        <sz val="11"/>
        <color theme="1"/>
        <rFont val="ＭＳ Ｐゴシック"/>
        <family val="3"/>
        <charset val="128"/>
        <scheme val="minor"/>
      </rPr>
      <t>洋河酒厂股份有限公司</t>
    </r>
  </si>
  <si>
    <r>
      <t xml:space="preserve">利口酒;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果酒（含酒精）; 葡萄酒;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食用酒精;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蒸煮提取物（利口酒和烈酒）; 白酒</t>
    </r>
  </si>
  <si>
    <r>
      <t>TRADING COMPANY LTD.HAIRUNHUI 海</t>
    </r>
    <r>
      <rPr>
        <sz val="11"/>
        <color theme="1"/>
        <rFont val="ＭＳ Ｐゴシック"/>
        <family val="3"/>
        <charset val="134"/>
        <scheme val="minor"/>
      </rPr>
      <t>润汇贸</t>
    </r>
    <r>
      <rPr>
        <sz val="11"/>
        <color theme="1"/>
        <rFont val="ＭＳ Ｐゴシック"/>
        <family val="3"/>
        <charset val="128"/>
        <scheme val="minor"/>
      </rPr>
      <t>易</t>
    </r>
  </si>
  <si>
    <r>
      <t>清</t>
    </r>
    <r>
      <rPr>
        <sz val="11"/>
        <color theme="1"/>
        <rFont val="ＭＳ Ｐゴシック"/>
        <family val="3"/>
        <charset val="134"/>
        <scheme val="minor"/>
      </rPr>
      <t>远</t>
    </r>
    <r>
      <rPr>
        <sz val="11"/>
        <color theme="1"/>
        <rFont val="ＭＳ Ｐゴシック"/>
        <family val="3"/>
        <charset val="128"/>
        <scheme val="minor"/>
      </rPr>
      <t>市海</t>
    </r>
    <r>
      <rPr>
        <sz val="11"/>
        <color theme="1"/>
        <rFont val="ＭＳ Ｐゴシック"/>
        <family val="3"/>
        <charset val="134"/>
        <scheme val="minor"/>
      </rPr>
      <t>润汇贸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</si>
  <si>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果酒; 米酒; 汽酒; 威士忌;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</t>
    </r>
  </si>
  <si>
    <t>山空</t>
  </si>
  <si>
    <r>
      <t>四川省崇州市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粮酒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</si>
  <si>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威士忌; 果酒（含酒精）; 白酒;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蜂蜜酒; 清酒（日本米酒）;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</si>
  <si>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黔宇</t>
  </si>
  <si>
    <r>
      <t>义乌</t>
    </r>
    <r>
      <rPr>
        <sz val="11"/>
        <color theme="1"/>
        <rFont val="ＭＳ Ｐゴシック"/>
        <family val="3"/>
        <charset val="128"/>
        <scheme val="minor"/>
      </rPr>
      <t>市</t>
    </r>
    <r>
      <rPr>
        <sz val="11"/>
        <color theme="1"/>
        <rFont val="ＭＳ Ｐゴシック"/>
        <family val="3"/>
        <charset val="134"/>
        <scheme val="minor"/>
      </rPr>
      <t>鹤</t>
    </r>
    <r>
      <rPr>
        <sz val="11"/>
        <color theme="1"/>
        <rFont val="ＭＳ Ｐゴシック"/>
        <family val="3"/>
        <charset val="128"/>
        <scheme val="minor"/>
      </rPr>
      <t>楷</t>
    </r>
    <r>
      <rPr>
        <sz val="11"/>
        <color theme="1"/>
        <rFont val="ＭＳ Ｐゴシック"/>
        <family val="3"/>
        <charset val="134"/>
        <scheme val="minor"/>
      </rPr>
      <t>电</t>
    </r>
    <r>
      <rPr>
        <sz val="11"/>
        <color theme="1"/>
        <rFont val="ＭＳ Ｐゴシック"/>
        <family val="3"/>
        <charset val="128"/>
        <scheme val="minor"/>
      </rPr>
      <t>子商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商行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</si>
  <si>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米酒; 白干酒（中国白酒）;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食用酒精;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</si>
  <si>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轩</t>
    </r>
    <r>
      <rPr>
        <sz val="11"/>
        <color theme="1"/>
        <rFont val="ＭＳ Ｐゴシック"/>
        <family val="3"/>
        <charset val="128"/>
        <scheme val="minor"/>
      </rPr>
      <t>鼎</t>
    </r>
  </si>
  <si>
    <r>
      <t>陈</t>
    </r>
    <r>
      <rPr>
        <sz val="11"/>
        <color theme="1"/>
        <rFont val="ＭＳ Ｐゴシック"/>
        <family val="3"/>
        <charset val="128"/>
        <scheme val="minor"/>
      </rPr>
      <t>超</t>
    </r>
  </si>
  <si>
    <r>
      <t xml:space="preserve">白干酒（中国白酒）; 果酒（含酒精）;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食用酒精;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</si>
  <si>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经传</t>
  </si>
  <si>
    <r>
      <t>食用酒精; 白酒; 白干酒（中国白酒）; 果酒（含酒精）;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</t>
    </r>
  </si>
  <si>
    <r>
      <t>德</t>
    </r>
    <r>
      <rPr>
        <sz val="11"/>
        <color theme="1"/>
        <rFont val="ＭＳ Ｐゴシック"/>
        <family val="3"/>
        <charset val="134"/>
        <scheme val="minor"/>
      </rPr>
      <t>尔</t>
    </r>
  </si>
  <si>
    <r>
      <t>福建德</t>
    </r>
    <r>
      <rPr>
        <sz val="11"/>
        <color theme="1"/>
        <rFont val="ＭＳ Ｐゴシック"/>
        <family val="3"/>
        <charset val="134"/>
        <scheme val="minor"/>
      </rPr>
      <t>尔</t>
    </r>
    <r>
      <rPr>
        <sz val="11"/>
        <color theme="1"/>
        <rFont val="ＭＳ Ｐゴシック"/>
        <family val="3"/>
        <charset val="128"/>
        <scheme val="minor"/>
      </rPr>
      <t>科技股份有限公司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</si>
  <si>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开胃酒; 葡萄酒; 白酒; 薄荷酒; 利口酒; 伏特加酒; 青稞酒; 食用酒精</t>
    </r>
  </si>
  <si>
    <r>
      <t>版</t>
    </r>
    <r>
      <rPr>
        <sz val="11"/>
        <color theme="1"/>
        <rFont val="ＭＳ Ｐゴシック"/>
        <family val="3"/>
        <charset val="134"/>
        <scheme val="minor"/>
      </rPr>
      <t>纳</t>
    </r>
    <r>
      <rPr>
        <sz val="11"/>
        <color theme="1"/>
        <rFont val="ＭＳ Ｐゴシック"/>
        <family val="3"/>
        <charset val="128"/>
        <scheme val="minor"/>
      </rPr>
      <t>王</t>
    </r>
  </si>
  <si>
    <t>李明亮</t>
  </si>
  <si>
    <r>
      <t>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高粱酒;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</t>
    </r>
  </si>
  <si>
    <r>
      <t>大黔老</t>
    </r>
    <r>
      <rPr>
        <sz val="11"/>
        <color theme="1"/>
        <rFont val="ＭＳ Ｐゴシック"/>
        <family val="3"/>
        <charset val="134"/>
        <scheme val="minor"/>
      </rPr>
      <t>坛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</si>
  <si>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州大黔庄洞藏酒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</si>
  <si>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甘蔗制烈酒;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黄酒; 米酒</t>
    </r>
  </si>
  <si>
    <r>
      <t>静</t>
    </r>
    <r>
      <rPr>
        <sz val="11"/>
        <color theme="1"/>
        <rFont val="ＭＳ Ｐゴシック"/>
        <family val="3"/>
        <charset val="134"/>
        <scheme val="minor"/>
      </rPr>
      <t>观</t>
    </r>
    <r>
      <rPr>
        <sz val="11"/>
        <color theme="1"/>
        <rFont val="ＭＳ Ｐゴシック"/>
        <family val="3"/>
        <charset val="128"/>
        <scheme val="minor"/>
      </rPr>
      <t>天下</t>
    </r>
  </si>
  <si>
    <r>
      <t>北碚区静</t>
    </r>
    <r>
      <rPr>
        <sz val="11"/>
        <color theme="1"/>
        <rFont val="ＭＳ Ｐゴシック"/>
        <family val="3"/>
        <charset val="134"/>
        <scheme val="minor"/>
      </rPr>
      <t>观镇</t>
    </r>
    <r>
      <rPr>
        <sz val="11"/>
        <color theme="1"/>
        <rFont val="ＭＳ Ｐゴシック"/>
        <family val="3"/>
        <charset val="128"/>
        <scheme val="minor"/>
      </rPr>
      <t>中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村</t>
    </r>
    <r>
      <rPr>
        <sz val="11"/>
        <color theme="1"/>
        <rFont val="ＭＳ Ｐゴシック"/>
        <family val="3"/>
        <charset val="134"/>
        <scheme val="minor"/>
      </rPr>
      <t>经济联</t>
    </r>
    <r>
      <rPr>
        <sz val="11"/>
        <color theme="1"/>
        <rFont val="ＭＳ Ｐゴシック"/>
        <family val="3"/>
        <charset val="128"/>
        <scheme val="minor"/>
      </rPr>
      <t>合社</t>
    </r>
  </si>
  <si>
    <r>
      <t xml:space="preserve">黄酒; 葡萄酒; 蜂蜜酒; 汽酒; 薄荷酒; 果酒（含酒精）; 米酒; 白酒;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</si>
  <si>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白爪</t>
  </si>
  <si>
    <r>
      <t>马</t>
    </r>
    <r>
      <rPr>
        <sz val="11"/>
        <color theme="1"/>
        <rFont val="ＭＳ Ｐゴシック"/>
        <family val="3"/>
        <charset val="128"/>
        <scheme val="minor"/>
      </rPr>
      <t>克安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尼国</t>
    </r>
    <r>
      <rPr>
        <sz val="11"/>
        <color theme="1"/>
        <rFont val="ＭＳ Ｐゴシック"/>
        <family val="3"/>
        <charset val="134"/>
        <scheme val="minor"/>
      </rPr>
      <t>际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</si>
  <si>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烈酒; 气泡酒; 伏特加酒</t>
    </r>
  </si>
  <si>
    <t>盛德百川</t>
  </si>
  <si>
    <r>
      <t>宁夏盛德百川工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</si>
  <si>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蜂蜜酒; 葡萄酒; 开胃酒; 甜酒;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烈酒; 白酒</t>
    </r>
  </si>
  <si>
    <t>孔雀台</t>
  </si>
  <si>
    <r>
      <t>广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景豪</t>
    </r>
    <r>
      <rPr>
        <sz val="11"/>
        <color theme="1"/>
        <rFont val="ＭＳ Ｐゴシック"/>
        <family val="3"/>
        <charset val="134"/>
        <scheme val="minor"/>
      </rPr>
      <t>铝业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</si>
  <si>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酒（烈酒）; 烈性干酒;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黄酒; 烈酒</t>
    </r>
  </si>
  <si>
    <t>成功者</t>
  </si>
  <si>
    <r>
      <t>吴江</t>
    </r>
    <r>
      <rPr>
        <sz val="11"/>
        <color theme="1"/>
        <rFont val="ＭＳ Ｐゴシック"/>
        <family val="3"/>
        <charset val="134"/>
        <scheme val="minor"/>
      </rPr>
      <t>经济</t>
    </r>
    <r>
      <rPr>
        <sz val="11"/>
        <color theme="1"/>
        <rFont val="ＭＳ Ｐゴシック"/>
        <family val="3"/>
        <charset val="128"/>
        <scheme val="minor"/>
      </rPr>
      <t>技</t>
    </r>
    <r>
      <rPr>
        <sz val="11"/>
        <color theme="1"/>
        <rFont val="ＭＳ Ｐゴシック"/>
        <family val="3"/>
        <charset val="134"/>
        <scheme val="minor"/>
      </rPr>
      <t>术</t>
    </r>
    <r>
      <rPr>
        <sz val="11"/>
        <color theme="1"/>
        <rFont val="ＭＳ Ｐゴシック"/>
        <family val="3"/>
        <charset val="128"/>
        <scheme val="minor"/>
      </rPr>
      <t>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区云之尚百</t>
    </r>
    <r>
      <rPr>
        <sz val="11"/>
        <color theme="1"/>
        <rFont val="ＭＳ Ｐゴシック"/>
        <family val="3"/>
        <charset val="134"/>
        <scheme val="minor"/>
      </rPr>
      <t>货</t>
    </r>
    <r>
      <rPr>
        <sz val="11"/>
        <color theme="1"/>
        <rFont val="ＭＳ Ｐゴシック"/>
        <family val="3"/>
        <charset val="128"/>
        <scheme val="minor"/>
      </rPr>
      <t>商行</t>
    </r>
  </si>
  <si>
    <r>
      <t xml:space="preserve">利口酒; 黄酒; 蜂蜜酒; 米酒;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开胃酒; 葡萄酒; 白酒; 果酒（含酒精）</t>
    </r>
  </si>
  <si>
    <r>
      <t>上海</t>
    </r>
    <r>
      <rPr>
        <sz val="11"/>
        <color theme="1"/>
        <rFont val="ＭＳ Ｐゴシック"/>
        <family val="3"/>
        <charset val="134"/>
        <scheme val="minor"/>
      </rPr>
      <t>维尘实业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</si>
  <si>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葡萄酒;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汽酒;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米酒</t>
    </r>
  </si>
  <si>
    <t>春樽</t>
  </si>
  <si>
    <r>
      <t>义乌</t>
    </r>
    <r>
      <rPr>
        <sz val="11"/>
        <color theme="1"/>
        <rFont val="ＭＳ Ｐゴシック"/>
        <family val="3"/>
        <charset val="128"/>
        <scheme val="minor"/>
      </rPr>
      <t>市衍尚</t>
    </r>
    <r>
      <rPr>
        <sz val="11"/>
        <color theme="1"/>
        <rFont val="ＭＳ Ｐゴシック"/>
        <family val="3"/>
        <charset val="134"/>
        <scheme val="minor"/>
      </rPr>
      <t>电</t>
    </r>
    <r>
      <rPr>
        <sz val="11"/>
        <color theme="1"/>
        <rFont val="ＭＳ Ｐゴシック"/>
        <family val="3"/>
        <charset val="128"/>
        <scheme val="minor"/>
      </rPr>
      <t>子商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商行</t>
    </r>
  </si>
  <si>
    <r>
      <t>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白干酒（中国白酒）;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食用酒精;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米酒</t>
    </r>
  </si>
  <si>
    <t>贵汇</t>
  </si>
  <si>
    <t>武晏全</t>
  </si>
  <si>
    <r>
      <t>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蒸煮提取物（利口酒和烈酒）; 米酒;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伏特加酒</t>
    </r>
  </si>
  <si>
    <r>
      <t>品味</t>
    </r>
    <r>
      <rPr>
        <sz val="11"/>
        <color theme="1"/>
        <rFont val="ＭＳ Ｐゴシック"/>
        <family val="3"/>
        <charset val="134"/>
        <scheme val="minor"/>
      </rPr>
      <t>时间</t>
    </r>
  </si>
  <si>
    <r>
      <t>四川老酒</t>
    </r>
    <r>
      <rPr>
        <sz val="11"/>
        <color theme="1"/>
        <rFont val="ＭＳ Ｐゴシック"/>
        <family val="3"/>
        <charset val="134"/>
        <scheme val="minor"/>
      </rPr>
      <t>汇电</t>
    </r>
    <r>
      <rPr>
        <sz val="11"/>
        <color theme="1"/>
        <rFont val="ＭＳ Ｐゴシック"/>
        <family val="3"/>
        <charset val="128"/>
        <scheme val="minor"/>
      </rPr>
      <t>子商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股份有限公司</t>
    </r>
  </si>
  <si>
    <r>
      <t>开胃酒;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含酒精的充气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利口酒;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含酒精的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尾酒混合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品</t>
    </r>
  </si>
  <si>
    <r>
      <t>水</t>
    </r>
    <r>
      <rPr>
        <sz val="11"/>
        <color theme="1"/>
        <rFont val="ＭＳ Ｐゴシック"/>
        <family val="3"/>
        <charset val="134"/>
        <scheme val="minor"/>
      </rPr>
      <t>阁</t>
    </r>
    <r>
      <rPr>
        <sz val="11"/>
        <color theme="1"/>
        <rFont val="ＭＳ Ｐゴシック"/>
        <family val="3"/>
        <charset val="128"/>
        <scheme val="minor"/>
      </rPr>
      <t>楼</t>
    </r>
  </si>
  <si>
    <r>
      <t>夏</t>
    </r>
    <r>
      <rPr>
        <sz val="11"/>
        <color theme="1"/>
        <rFont val="ＭＳ Ｐゴシック"/>
        <family val="3"/>
        <charset val="134"/>
        <scheme val="minor"/>
      </rPr>
      <t>飞</t>
    </r>
  </si>
  <si>
    <r>
      <t xml:space="preserve">白酒; 葡萄酒; 果酒（含酒精）;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利口酒;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</si>
  <si>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中帝</t>
  </si>
  <si>
    <r>
      <t>吴江</t>
    </r>
    <r>
      <rPr>
        <sz val="11"/>
        <color theme="1"/>
        <rFont val="ＭＳ Ｐゴシック"/>
        <family val="3"/>
        <charset val="134"/>
        <scheme val="minor"/>
      </rPr>
      <t>经济</t>
    </r>
    <r>
      <rPr>
        <sz val="11"/>
        <color theme="1"/>
        <rFont val="ＭＳ Ｐゴシック"/>
        <family val="3"/>
        <charset val="128"/>
        <scheme val="minor"/>
      </rPr>
      <t>技</t>
    </r>
    <r>
      <rPr>
        <sz val="11"/>
        <color theme="1"/>
        <rFont val="ＭＳ Ｐゴシック"/>
        <family val="3"/>
        <charset val="134"/>
        <scheme val="minor"/>
      </rPr>
      <t>术</t>
    </r>
    <r>
      <rPr>
        <sz val="11"/>
        <color theme="1"/>
        <rFont val="ＭＳ Ｐゴシック"/>
        <family val="3"/>
        <charset val="128"/>
        <scheme val="minor"/>
      </rPr>
      <t>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区</t>
    </r>
    <r>
      <rPr>
        <sz val="11"/>
        <color theme="1"/>
        <rFont val="ＭＳ Ｐゴシック"/>
        <family val="3"/>
        <charset val="129"/>
        <scheme val="minor"/>
      </rPr>
      <t>优</t>
    </r>
    <r>
      <rPr>
        <sz val="11"/>
        <color theme="1"/>
        <rFont val="ＭＳ Ｐゴシック"/>
        <family val="3"/>
        <charset val="134"/>
        <scheme val="minor"/>
      </rPr>
      <t>标</t>
    </r>
    <r>
      <rPr>
        <sz val="11"/>
        <color theme="1"/>
        <rFont val="ＭＳ Ｐゴシック"/>
        <family val="3"/>
        <charset val="128"/>
        <scheme val="minor"/>
      </rPr>
      <t>信息咨</t>
    </r>
    <r>
      <rPr>
        <sz val="11"/>
        <color theme="1"/>
        <rFont val="ＭＳ Ｐゴシック"/>
        <family val="3"/>
        <charset val="134"/>
        <scheme val="minor"/>
      </rPr>
      <t>询</t>
    </r>
    <r>
      <rPr>
        <sz val="11"/>
        <color theme="1"/>
        <rFont val="ＭＳ Ｐゴシック"/>
        <family val="3"/>
        <charset val="128"/>
        <scheme val="minor"/>
      </rPr>
      <t>服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部</t>
    </r>
  </si>
  <si>
    <r>
      <t xml:space="preserve">果酒（含酒精）; 葡萄酒;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食用酒精; 米酒; 黄酒; 蜂蜜酒; 利口酒; 开胃酒</t>
    </r>
  </si>
  <si>
    <r>
      <t>皇道</t>
    </r>
    <r>
      <rPr>
        <sz val="11"/>
        <color theme="1"/>
        <rFont val="ＭＳ Ｐゴシック"/>
        <family val="3"/>
        <charset val="134"/>
        <scheme val="minor"/>
      </rPr>
      <t>浆</t>
    </r>
  </si>
  <si>
    <t>魏道******************</t>
  </si>
  <si>
    <r>
      <t>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开胃酒; 米酒; 白酒</t>
    </r>
  </si>
  <si>
    <t>同盛源</t>
  </si>
  <si>
    <r>
      <t>潍</t>
    </r>
    <r>
      <rPr>
        <sz val="11"/>
        <color theme="1"/>
        <rFont val="ＭＳ Ｐゴシック"/>
        <family val="3"/>
        <charset val="128"/>
        <scheme val="minor"/>
      </rPr>
      <t>坊同盛源商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</si>
  <si>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开胃酒; 利口酒; 果酒; 白酒; 白干酒（中国白酒）; 清酒（日本米酒）;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</si>
  <si>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逍遥晨曲</t>
  </si>
  <si>
    <r>
      <t>林</t>
    </r>
    <r>
      <rPr>
        <sz val="11"/>
        <color theme="1"/>
        <rFont val="ＭＳ Ｐゴシック"/>
        <family val="3"/>
        <charset val="134"/>
        <scheme val="minor"/>
      </rPr>
      <t>镇炜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</si>
  <si>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清酒（日本米酒）;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食用酒精; 果酒（含酒精）; 葡萄酒</t>
    </r>
  </si>
  <si>
    <t>荣 荣澄</t>
  </si>
  <si>
    <r>
      <t>仪</t>
    </r>
    <r>
      <rPr>
        <sz val="11"/>
        <color theme="1"/>
        <rFont val="ＭＳ Ｐゴシック"/>
        <family val="3"/>
        <charset val="128"/>
        <scheme val="minor"/>
      </rPr>
      <t>征市</t>
    </r>
    <r>
      <rPr>
        <sz val="11"/>
        <color theme="1"/>
        <rFont val="ＭＳ Ｐゴシック"/>
        <family val="3"/>
        <charset val="134"/>
        <scheme val="minor"/>
      </rPr>
      <t>红树</t>
    </r>
    <r>
      <rPr>
        <sz val="11"/>
        <color theme="1"/>
        <rFont val="ＭＳ Ｐゴシック"/>
        <family val="3"/>
        <charset val="128"/>
        <scheme val="minor"/>
      </rPr>
      <t>林</t>
    </r>
    <r>
      <rPr>
        <sz val="11"/>
        <color theme="1"/>
        <rFont val="ＭＳ Ｐゴシック"/>
        <family val="3"/>
        <charset val="134"/>
        <scheme val="minor"/>
      </rPr>
      <t>户</t>
    </r>
    <r>
      <rPr>
        <sz val="11"/>
        <color theme="1"/>
        <rFont val="ＭＳ Ｐゴシック"/>
        <family val="3"/>
        <charset val="128"/>
        <scheme val="minor"/>
      </rPr>
      <t>外运</t>
    </r>
    <r>
      <rPr>
        <sz val="11"/>
        <color theme="1"/>
        <rFont val="ＭＳ Ｐゴシック"/>
        <family val="3"/>
        <charset val="134"/>
        <scheme val="minor"/>
      </rPr>
      <t>动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</si>
  <si>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米酒; 葡萄酒;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果酒;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</t>
    </r>
  </si>
  <si>
    <r>
      <t>酒</t>
    </r>
    <r>
      <rPr>
        <sz val="11"/>
        <color theme="1"/>
        <rFont val="ＭＳ Ｐゴシック"/>
        <family val="3"/>
        <charset val="134"/>
        <scheme val="minor"/>
      </rPr>
      <t>欢欢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</si>
  <si>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州最人民品牌管理有限公司</t>
    </r>
  </si>
  <si>
    <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黄酒; 白酒;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汽酒; 果酒（含酒精）;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</si>
  <si>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乡</t>
    </r>
    <r>
      <rPr>
        <sz val="11"/>
        <color theme="1"/>
        <rFont val="ＭＳ Ｐゴシック"/>
        <family val="3"/>
        <charset val="128"/>
        <scheme val="minor"/>
      </rPr>
      <t>露</t>
    </r>
  </si>
  <si>
    <t>郭香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</si>
  <si>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白酒; 汽酒; 高粱酒; 白干酒（中国白酒）;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梅酒</t>
    </r>
  </si>
  <si>
    <r>
      <t>沂河源</t>
    </r>
    <r>
      <rPr>
        <sz val="11"/>
        <color theme="1"/>
        <rFont val="ＭＳ Ｐゴシック"/>
        <family val="3"/>
        <charset val="134"/>
        <scheme val="minor"/>
      </rPr>
      <t>头</t>
    </r>
  </si>
  <si>
    <r>
      <t>王</t>
    </r>
    <r>
      <rPr>
        <sz val="11"/>
        <color theme="1"/>
        <rFont val="ＭＳ Ｐゴシック"/>
        <family val="3"/>
        <charset val="134"/>
        <scheme val="minor"/>
      </rPr>
      <t>焕</t>
    </r>
    <r>
      <rPr>
        <sz val="11"/>
        <color theme="1"/>
        <rFont val="ＭＳ Ｐゴシック"/>
        <family val="3"/>
        <charset val="128"/>
        <scheme val="minor"/>
      </rPr>
      <t>来</t>
    </r>
  </si>
  <si>
    <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清酒（日本米酒）; 威士忌; 伏特加酒;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</si>
  <si>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马</t>
    </r>
    <r>
      <rPr>
        <sz val="11"/>
        <color theme="1"/>
        <rFont val="ＭＳ Ｐゴシック"/>
        <family val="3"/>
        <charset val="128"/>
        <scheme val="minor"/>
      </rPr>
      <t>家</t>
    </r>
    <r>
      <rPr>
        <sz val="11"/>
        <color theme="1"/>
        <rFont val="ＭＳ Ｐゴシック"/>
        <family val="3"/>
        <charset val="134"/>
        <scheme val="minor"/>
      </rPr>
      <t>营</t>
    </r>
  </si>
  <si>
    <r>
      <t>枣</t>
    </r>
    <r>
      <rPr>
        <sz val="11"/>
        <color theme="1"/>
        <rFont val="ＭＳ Ｐゴシック"/>
        <family val="3"/>
        <charset val="128"/>
        <scheme val="minor"/>
      </rPr>
      <t>阳市</t>
    </r>
    <r>
      <rPr>
        <sz val="11"/>
        <color theme="1"/>
        <rFont val="ＭＳ Ｐゴシック"/>
        <family val="3"/>
        <charset val="134"/>
        <scheme val="minor"/>
      </rPr>
      <t>马</t>
    </r>
    <r>
      <rPr>
        <sz val="11"/>
        <color theme="1"/>
        <rFont val="ＭＳ Ｐゴシック"/>
        <family val="3"/>
        <charset val="128"/>
        <scheme val="minor"/>
      </rPr>
      <t>家</t>
    </r>
    <r>
      <rPr>
        <sz val="11"/>
        <color theme="1"/>
        <rFont val="ＭＳ Ｐゴシック"/>
        <family val="3"/>
        <charset val="134"/>
        <scheme val="minor"/>
      </rPr>
      <t>营</t>
    </r>
    <r>
      <rPr>
        <sz val="11"/>
        <color theme="1"/>
        <rFont val="ＭＳ Ｐゴシック"/>
        <family val="3"/>
        <charset val="128"/>
        <scheme val="minor"/>
      </rPr>
      <t>旅游开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</si>
  <si>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清酒（日本米酒）; 果酒（含酒精）; 蜂蜜酒;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葡萄酒; 黄酒</t>
    </r>
  </si>
  <si>
    <t>静春山 JINGCHUN MOUNTAIN</t>
  </si>
  <si>
    <r>
      <t>江</t>
    </r>
    <r>
      <rPr>
        <sz val="11"/>
        <color theme="1"/>
        <rFont val="ＭＳ Ｐゴシック"/>
        <family val="3"/>
        <charset val="134"/>
        <scheme val="minor"/>
      </rPr>
      <t>苏</t>
    </r>
    <r>
      <rPr>
        <sz val="11"/>
        <color theme="1"/>
        <rFont val="ＭＳ Ｐゴシック"/>
        <family val="3"/>
        <charset val="128"/>
        <scheme val="minor"/>
      </rPr>
      <t>和而不同文化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播有限公司</t>
    </r>
  </si>
  <si>
    <r>
      <t xml:space="preserve">白干酒（中国白酒）; 甜酒;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高粱酒;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露酒</t>
    </r>
  </si>
  <si>
    <t>楚樽</t>
  </si>
  <si>
    <r>
      <t>何</t>
    </r>
    <r>
      <rPr>
        <sz val="11"/>
        <color theme="1"/>
        <rFont val="ＭＳ Ｐゴシック"/>
        <family val="3"/>
        <charset val="134"/>
        <scheme val="minor"/>
      </rPr>
      <t>飞</t>
    </r>
  </si>
  <si>
    <r>
      <t xml:space="preserve">威士忌;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食用酒精; 葡萄酒; 白酒; 白干酒（中国白酒）</t>
    </r>
  </si>
  <si>
    <r>
      <t>东</t>
    </r>
    <r>
      <rPr>
        <sz val="11"/>
        <color theme="1"/>
        <rFont val="ＭＳ Ｐゴシック"/>
        <family val="3"/>
        <charset val="128"/>
        <scheme val="minor"/>
      </rPr>
      <t>方名人</t>
    </r>
  </si>
  <si>
    <r>
      <t>泸</t>
    </r>
    <r>
      <rPr>
        <sz val="11"/>
        <color theme="1"/>
        <rFont val="ＭＳ Ｐゴシック"/>
        <family val="3"/>
        <charset val="128"/>
        <scheme val="minor"/>
      </rPr>
      <t>州云</t>
    </r>
    <r>
      <rPr>
        <sz val="11"/>
        <color theme="1"/>
        <rFont val="ＭＳ Ｐゴシック"/>
        <family val="3"/>
        <charset val="134"/>
        <scheme val="minor"/>
      </rPr>
      <t>锦</t>
    </r>
    <r>
      <rPr>
        <sz val="11"/>
        <color theme="1"/>
        <rFont val="ＭＳ Ｐゴシック"/>
        <family val="3"/>
        <charset val="128"/>
        <scheme val="minor"/>
      </rPr>
      <t>酒庄酒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</si>
  <si>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黄酒; 食用酒精;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清酒（日本米酒）; 果酒（含酒精）; 米酒; 青稞酒;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</t>
    </r>
  </si>
  <si>
    <r>
      <t>主</t>
    </r>
    <r>
      <rPr>
        <sz val="11"/>
        <color theme="1"/>
        <rFont val="ＭＳ Ｐゴシック"/>
        <family val="3"/>
        <charset val="134"/>
        <scheme val="minor"/>
      </rPr>
      <t>宾</t>
    </r>
  </si>
  <si>
    <r>
      <t>苏</t>
    </r>
    <r>
      <rPr>
        <sz val="11"/>
        <color theme="1"/>
        <rFont val="ＭＳ Ｐゴシック"/>
        <family val="3"/>
        <charset val="128"/>
        <scheme val="minor"/>
      </rPr>
      <t>州浩禄网</t>
    </r>
    <r>
      <rPr>
        <sz val="11"/>
        <color theme="1"/>
        <rFont val="ＭＳ Ｐゴシック"/>
        <family val="3"/>
        <charset val="134"/>
        <scheme val="minor"/>
      </rPr>
      <t>络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</si>
  <si>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米酒; 白酒;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葡萄酒</t>
    </r>
  </si>
  <si>
    <t>XIANGKANG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</si>
  <si>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州祥康酒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（集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）有限公司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</si>
  <si>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</si>
  <si>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汽酒;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米酒;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</si>
  <si>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明</t>
    </r>
    <r>
      <rPr>
        <sz val="11"/>
        <color theme="1"/>
        <rFont val="ＭＳ Ｐゴシック"/>
        <family val="3"/>
        <charset val="134"/>
        <scheme val="minor"/>
      </rPr>
      <t>鉴</t>
    </r>
  </si>
  <si>
    <r>
      <t>李秀</t>
    </r>
    <r>
      <rPr>
        <sz val="11"/>
        <color theme="1"/>
        <rFont val="ＭＳ Ｐゴシック"/>
        <family val="3"/>
        <charset val="134"/>
        <scheme val="minor"/>
      </rPr>
      <t>红</t>
    </r>
  </si>
  <si>
    <r>
      <t>米酒; 葡萄酒; 果酒; 清香型白酒; 白酒(</t>
    </r>
    <r>
      <rPr>
        <sz val="11"/>
        <color theme="1"/>
        <rFont val="ＭＳ Ｐゴシック"/>
        <family val="3"/>
        <charset val="134"/>
        <scheme val="minor"/>
      </rPr>
      <t>酱</t>
    </r>
    <r>
      <rPr>
        <sz val="11"/>
        <color theme="1"/>
        <rFont val="ＭＳ Ｐゴシック"/>
        <family val="3"/>
        <charset val="128"/>
        <scheme val="minor"/>
      </rPr>
      <t xml:space="preserve">香型); 白酒(清香型); </t>
    </r>
    <r>
      <rPr>
        <sz val="11"/>
        <color theme="1"/>
        <rFont val="ＭＳ Ｐゴシック"/>
        <family val="3"/>
        <charset val="134"/>
        <scheme val="minor"/>
      </rPr>
      <t>酱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酱</t>
    </r>
    <r>
      <rPr>
        <sz val="11"/>
        <color theme="1"/>
        <rFont val="ＭＳ Ｐゴシック"/>
        <family val="3"/>
        <charset val="128"/>
        <scheme val="minor"/>
      </rPr>
      <t>香型白酒; 黄酒; 白酒</t>
    </r>
  </si>
  <si>
    <r>
      <t>梅花伴酒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（广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）有限公司</t>
    </r>
  </si>
  <si>
    <r>
      <t>白酒; 果酒;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 xml:space="preserve">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黄酒;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米酒（泡盛酒）;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</t>
    </r>
  </si>
  <si>
    <t>泪</t>
  </si>
  <si>
    <t>李征征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</si>
  <si>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清酒; 果酒（含酒精）; 葡萄酒; 食用酒精; 汽酒</t>
    </r>
  </si>
  <si>
    <r>
      <t>凯</t>
    </r>
    <r>
      <rPr>
        <sz val="11"/>
        <color theme="1"/>
        <rFont val="ＭＳ Ｐゴシック"/>
        <family val="3"/>
        <charset val="128"/>
        <scheme val="minor"/>
      </rPr>
      <t>富麦克斯</t>
    </r>
  </si>
  <si>
    <r>
      <t>酩品</t>
    </r>
    <r>
      <rPr>
        <sz val="11"/>
        <color theme="1"/>
        <rFont val="ＭＳ Ｐゴシック"/>
        <family val="3"/>
        <charset val="134"/>
        <scheme val="minor"/>
      </rPr>
      <t>荟</t>
    </r>
    <r>
      <rPr>
        <sz val="11"/>
        <color theme="1"/>
        <rFont val="ＭＳ Ｐゴシック"/>
        <family val="3"/>
        <charset val="128"/>
        <scheme val="minor"/>
      </rPr>
      <t>国</t>
    </r>
    <r>
      <rPr>
        <sz val="11"/>
        <color theme="1"/>
        <rFont val="ＭＳ Ｐゴシック"/>
        <family val="3"/>
        <charset val="134"/>
        <scheme val="minor"/>
      </rPr>
      <t>际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（北京）有限公司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</si>
  <si>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米酒;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果酒（含酒精）; 伏特加酒; 朗姆酒</t>
    </r>
  </si>
  <si>
    <r>
      <t>占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果</t>
    </r>
    <r>
      <rPr>
        <sz val="11"/>
        <color theme="1"/>
        <rFont val="ＭＳ Ｐゴシック"/>
        <family val="3"/>
        <charset val="134"/>
        <scheme val="minor"/>
      </rPr>
      <t>业</t>
    </r>
  </si>
  <si>
    <r>
      <t>阿拉</t>
    </r>
    <r>
      <rPr>
        <sz val="11"/>
        <color theme="1"/>
        <rFont val="ＭＳ Ｐゴシック"/>
        <family val="3"/>
        <charset val="134"/>
        <scheme val="minor"/>
      </rPr>
      <t>尔</t>
    </r>
    <r>
      <rPr>
        <sz val="11"/>
        <color theme="1"/>
        <rFont val="ＭＳ Ｐゴシック"/>
        <family val="3"/>
        <charset val="128"/>
        <scheme val="minor"/>
      </rPr>
      <t>市占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果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</si>
  <si>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果酒; 开胃酒; 汽酒; 青稞酒;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米酒</t>
    </r>
  </si>
  <si>
    <t>九仕坡 唐家</t>
  </si>
  <si>
    <r>
      <t>茂名市</t>
    </r>
    <r>
      <rPr>
        <sz val="11"/>
        <color theme="1"/>
        <rFont val="ＭＳ Ｐゴシック"/>
        <family val="3"/>
        <charset val="134"/>
        <scheme val="minor"/>
      </rPr>
      <t>欢</t>
    </r>
    <r>
      <rPr>
        <sz val="11"/>
        <color theme="1"/>
        <rFont val="ＭＳ Ｐゴシック"/>
        <family val="3"/>
        <charset val="128"/>
        <scheme val="minor"/>
      </rPr>
      <t>程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</si>
  <si>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米酒; 高粱酒; 威士忌; 白酒; 烈酒; 白葡萄酒; 白干酒（中国白酒）;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不起泡葡萄酒</t>
    </r>
  </si>
  <si>
    <t>首指</t>
  </si>
  <si>
    <t>王金哲</t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</si>
  <si>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黄酒;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威士忌;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</t>
    </r>
  </si>
  <si>
    <r>
      <t>吉祥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（北京）互</t>
    </r>
    <r>
      <rPr>
        <sz val="11"/>
        <color theme="1"/>
        <rFont val="ＭＳ Ｐゴシック"/>
        <family val="3"/>
        <charset val="134"/>
        <scheme val="minor"/>
      </rPr>
      <t>联</t>
    </r>
    <r>
      <rPr>
        <sz val="11"/>
        <color theme="1"/>
        <rFont val="ＭＳ Ｐゴシック"/>
        <family val="3"/>
        <charset val="128"/>
        <scheme val="minor"/>
      </rPr>
      <t>网科技有限公司</t>
    </r>
  </si>
  <si>
    <r>
      <t>白酒; 果酒（含酒精）; 米酒;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</si>
  <si>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董氏王子 董氏王子迎</t>
    </r>
    <r>
      <rPr>
        <sz val="11"/>
        <color theme="1"/>
        <rFont val="ＭＳ Ｐゴシック"/>
        <family val="3"/>
        <charset val="134"/>
        <scheme val="minor"/>
      </rPr>
      <t>宾</t>
    </r>
    <r>
      <rPr>
        <sz val="11"/>
        <color theme="1"/>
        <rFont val="ＭＳ Ｐゴシック"/>
        <family val="3"/>
        <charset val="128"/>
        <scheme val="minor"/>
      </rPr>
      <t>酒 WANG ZI YING BIN JIU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</si>
  <si>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34"/>
        <scheme val="minor"/>
      </rPr>
      <t>汉</t>
    </r>
    <r>
      <rPr>
        <sz val="11"/>
        <color theme="1"/>
        <rFont val="ＭＳ Ｐゴシック"/>
        <family val="3"/>
        <charset val="128"/>
        <scheme val="minor"/>
      </rPr>
      <t>董酒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</si>
  <si>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果酒（含酒精）; 薄荷酒;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开胃酒;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黄酒; 白酒;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</si>
  <si>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成都洛瑞塔企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</si>
  <si>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葡萄酒; 食用酒精; 开胃酒;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</si>
  <si>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SHENZHEN PORT</t>
  </si>
  <si>
    <r>
      <t>深圳港集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</si>
  <si>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汽酒; 清酒（日本米酒）;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白酒; 米酒; 食用酒精</t>
    </r>
  </si>
  <si>
    <t>深圳港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</si>
  <si>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汽酒; 米酒; 食用酒精;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清酒（日本米酒）;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</si>
  <si>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COME ON</t>
  </si>
  <si>
    <r>
      <t>海南逸海</t>
    </r>
    <r>
      <rPr>
        <sz val="11"/>
        <color theme="1"/>
        <rFont val="ＭＳ Ｐゴシック"/>
        <family val="3"/>
        <charset val="134"/>
        <scheme val="minor"/>
      </rPr>
      <t>渔</t>
    </r>
    <r>
      <rPr>
        <sz val="11"/>
        <color theme="1"/>
        <rFont val="ＭＳ Ｐゴシック"/>
        <family val="3"/>
        <charset val="128"/>
        <scheme val="minor"/>
      </rPr>
      <t>旅游开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</si>
  <si>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商殷</t>
    </r>
    <r>
      <rPr>
        <sz val="11"/>
        <color theme="1"/>
        <rFont val="ＭＳ Ｐゴシック"/>
        <family val="3"/>
        <charset val="134"/>
        <scheme val="minor"/>
      </rPr>
      <t>阏</t>
    </r>
    <r>
      <rPr>
        <sz val="11"/>
        <color theme="1"/>
        <rFont val="ＭＳ Ｐゴシック"/>
        <family val="3"/>
        <charset val="128"/>
        <scheme val="minor"/>
      </rPr>
      <t>伯</t>
    </r>
  </si>
  <si>
    <r>
      <t>河南中海物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</si>
  <si>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果酒; 葡萄酒; 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开胃酒;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</t>
    </r>
  </si>
  <si>
    <t>蜜雪冰城股份有限公司</t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</si>
  <si>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清酒; 果酒（含酒精）; 葡萄酒; 米酒; 汽酒; 利口酒;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</t>
    </r>
  </si>
  <si>
    <r>
      <t>中跑</t>
    </r>
    <r>
      <rPr>
        <sz val="11"/>
        <color theme="1"/>
        <rFont val="ＭＳ Ｐゴシック"/>
        <family val="3"/>
        <charset val="134"/>
        <scheme val="minor"/>
      </rPr>
      <t>红传</t>
    </r>
    <r>
      <rPr>
        <sz val="11"/>
        <color theme="1"/>
        <rFont val="ＭＳ Ｐゴシック"/>
        <family val="3"/>
        <charset val="128"/>
        <scheme val="minor"/>
      </rPr>
      <t xml:space="preserve"> ZPHC</t>
    </r>
  </si>
  <si>
    <r>
      <t>深圳市中跑</t>
    </r>
    <r>
      <rPr>
        <sz val="11"/>
        <color theme="1"/>
        <rFont val="ＭＳ Ｐゴシック"/>
        <family val="3"/>
        <charset val="134"/>
        <scheme val="minor"/>
      </rPr>
      <t>红传</t>
    </r>
    <r>
      <rPr>
        <sz val="11"/>
        <color theme="1"/>
        <rFont val="ＭＳ Ｐゴシック"/>
        <family val="3"/>
        <charset val="128"/>
        <scheme val="minor"/>
      </rPr>
      <t>体育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</si>
  <si>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葡萄酒; 果酒（含酒精）; 餐后酒（利口酒和烈酒）;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</si>
  <si>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迎</t>
    </r>
    <r>
      <rPr>
        <sz val="11"/>
        <color theme="1"/>
        <rFont val="ＭＳ Ｐゴシック"/>
        <family val="3"/>
        <charset val="134"/>
        <scheme val="minor"/>
      </rPr>
      <t>凤</t>
    </r>
    <r>
      <rPr>
        <sz val="11"/>
        <color theme="1"/>
        <rFont val="ＭＳ Ｐゴシック"/>
        <family val="3"/>
        <charset val="128"/>
        <scheme val="minor"/>
      </rPr>
      <t>樽</t>
    </r>
  </si>
  <si>
    <r>
      <t>西安浩</t>
    </r>
    <r>
      <rPr>
        <sz val="11"/>
        <color theme="1"/>
        <rFont val="ＭＳ Ｐゴシック"/>
        <family val="3"/>
        <charset val="134"/>
        <scheme val="minor"/>
      </rPr>
      <t>铧</t>
    </r>
    <r>
      <rPr>
        <sz val="11"/>
        <color theme="1"/>
        <rFont val="ＭＳ Ｐゴシック"/>
        <family val="3"/>
        <charset val="128"/>
        <scheme val="minor"/>
      </rPr>
      <t>园林</t>
    </r>
    <r>
      <rPr>
        <sz val="11"/>
        <color theme="1"/>
        <rFont val="ＭＳ Ｐゴシック"/>
        <family val="3"/>
        <charset val="134"/>
        <scheme val="minor"/>
      </rPr>
      <t>绿</t>
    </r>
    <r>
      <rPr>
        <sz val="11"/>
        <color theme="1"/>
        <rFont val="ＭＳ Ｐゴシック"/>
        <family val="3"/>
        <charset val="128"/>
        <scheme val="minor"/>
      </rPr>
      <t>化工程有限公司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</si>
  <si>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米酒; 黄酒;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果酒（含酒精）</t>
    </r>
  </si>
  <si>
    <t>湘窖天下香</t>
  </si>
  <si>
    <r>
      <t>湖南湘窖酒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</si>
  <si>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利口酒; 威士忌;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黄酒; 果酒（含酒精）;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</si>
  <si>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红钻</t>
    </r>
    <r>
      <rPr>
        <sz val="11"/>
        <color theme="1"/>
        <rFont val="ＭＳ Ｐゴシック"/>
        <family val="3"/>
        <charset val="128"/>
        <scheme val="minor"/>
      </rPr>
      <t>湘窑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</si>
  <si>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利口酒;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葡萄酒; 米酒; 黄酒; 威士忌</t>
    </r>
  </si>
  <si>
    <r>
      <t>湘窖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山窖</t>
    </r>
  </si>
  <si>
    <r>
      <t xml:space="preserve">白酒; 利口酒; 黄酒;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米酒;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</si>
  <si>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金</t>
    </r>
    <r>
      <rPr>
        <sz val="11"/>
        <color theme="1"/>
        <rFont val="ＭＳ Ｐゴシック"/>
        <family val="3"/>
        <charset val="134"/>
        <scheme val="minor"/>
      </rPr>
      <t>钻</t>
    </r>
    <r>
      <rPr>
        <sz val="11"/>
        <color theme="1"/>
        <rFont val="ＭＳ Ｐゴシック"/>
        <family val="3"/>
        <charset val="128"/>
        <scheme val="minor"/>
      </rPr>
      <t>湘窖</t>
    </r>
  </si>
  <si>
    <r>
      <t>葡萄酒; 黄酒;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利口酒;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白酒</t>
    </r>
  </si>
  <si>
    <r>
      <t>红钻</t>
    </r>
    <r>
      <rPr>
        <sz val="11"/>
        <color theme="1"/>
        <rFont val="ＭＳ Ｐゴシック"/>
        <family val="3"/>
        <charset val="128"/>
        <scheme val="minor"/>
      </rPr>
      <t>窖湘</t>
    </r>
  </si>
  <si>
    <r>
      <t xml:space="preserve">威士忌;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利口酒; 黄酒; 米酒</t>
    </r>
  </si>
  <si>
    <t>湘荣耀湘窑</t>
  </si>
  <si>
    <r>
      <t>威士忌; 利口酒;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果酒（含酒精）; 白酒</t>
    </r>
  </si>
  <si>
    <r>
      <t>怀</t>
    </r>
    <r>
      <rPr>
        <sz val="11"/>
        <color theme="1"/>
        <rFont val="ＭＳ Ｐゴシック"/>
        <family val="3"/>
        <charset val="128"/>
        <scheme val="minor"/>
      </rPr>
      <t>庄定制</t>
    </r>
    <r>
      <rPr>
        <sz val="11"/>
        <color theme="1"/>
        <rFont val="ＭＳ Ｐゴシック"/>
        <family val="3"/>
        <charset val="134"/>
        <scheme val="minor"/>
      </rPr>
      <t>馆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</si>
  <si>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庄酒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（集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）有限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</si>
  <si>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青稞酒;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黄酒; 白酒; 苹果酒;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葡萄酒; 甘蔗制酒精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</si>
  <si>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道商川麻婆</t>
  </si>
  <si>
    <r>
      <t>孟</t>
    </r>
    <r>
      <rPr>
        <sz val="11"/>
        <color theme="1"/>
        <rFont val="ＭＳ Ｐゴシック"/>
        <family val="3"/>
        <charset val="134"/>
        <scheme val="minor"/>
      </rPr>
      <t>庆</t>
    </r>
    <r>
      <rPr>
        <sz val="11"/>
        <color theme="1"/>
        <rFont val="ＭＳ Ｐゴシック"/>
        <family val="3"/>
        <charset val="128"/>
        <scheme val="minor"/>
      </rPr>
      <t>超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</si>
  <si>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果酒; 果酒（含酒精）; 黄酒; 高粱酒;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</t>
    </r>
  </si>
  <si>
    <t>H 江海造酒</t>
  </si>
  <si>
    <r>
      <t>江</t>
    </r>
    <r>
      <rPr>
        <sz val="11"/>
        <color theme="1"/>
        <rFont val="ＭＳ Ｐゴシック"/>
        <family val="3"/>
        <charset val="134"/>
        <scheme val="minor"/>
      </rPr>
      <t>苏</t>
    </r>
    <r>
      <rPr>
        <sz val="11"/>
        <color theme="1"/>
        <rFont val="ＭＳ Ｐゴシック"/>
        <family val="3"/>
        <charset val="128"/>
        <scheme val="minor"/>
      </rPr>
      <t>江海造酒有限公司</t>
    </r>
  </si>
  <si>
    <r>
      <t>清酒; 黄酒; 白酒;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果酒（含酒精）; 露酒</t>
    </r>
  </si>
  <si>
    <t>岭南花街</t>
  </si>
  <si>
    <r>
      <t>菅</t>
    </r>
    <r>
      <rPr>
        <sz val="11"/>
        <color theme="1"/>
        <rFont val="ＭＳ Ｐゴシック"/>
        <family val="3"/>
        <charset val="134"/>
        <scheme val="minor"/>
      </rPr>
      <t>伟</t>
    </r>
  </si>
  <si>
    <r>
      <t xml:space="preserve">苹果酒;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果酒; 葡萄酒; 清酒; 米酒; 烈酒; 威士忌; 黄酒</t>
    </r>
  </si>
  <si>
    <r>
      <t>闺</t>
    </r>
    <r>
      <rPr>
        <sz val="11"/>
        <color theme="1"/>
        <rFont val="ＭＳ Ｐゴシック"/>
        <family val="3"/>
        <charset val="128"/>
        <scheme val="minor"/>
      </rPr>
      <t>蜜</t>
    </r>
    <r>
      <rPr>
        <sz val="11"/>
        <color theme="1"/>
        <rFont val="ＭＳ Ｐゴシック"/>
        <family val="3"/>
        <charset val="134"/>
        <scheme val="minor"/>
      </rPr>
      <t>语</t>
    </r>
    <r>
      <rPr>
        <sz val="11"/>
        <color theme="1"/>
        <rFont val="ＭＳ Ｐゴシック"/>
        <family val="3"/>
        <charset val="128"/>
        <scheme val="minor"/>
      </rPr>
      <t>酒 FRIEND TALK WINE</t>
    </r>
  </si>
  <si>
    <r>
      <t>张</t>
    </r>
    <r>
      <rPr>
        <sz val="11"/>
        <color theme="1"/>
        <rFont val="ＭＳ Ｐゴシック"/>
        <family val="3"/>
        <charset val="128"/>
        <scheme val="minor"/>
      </rPr>
      <t>建宁</t>
    </r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</si>
  <si>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清酒;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果酒（含酒精）; 米酒; 薄荷酒</t>
    </r>
  </si>
  <si>
    <t>琳琅. 紫</t>
  </si>
  <si>
    <r>
      <t>广州井林酒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</si>
  <si>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果酒; 白葡萄酒; 高粱酒; 白酒;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烈酒; 天然汽酒; 清酒;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葡萄酒</t>
    </r>
  </si>
  <si>
    <r>
      <t>京</t>
    </r>
    <r>
      <rPr>
        <sz val="11"/>
        <color theme="1"/>
        <rFont val="ＭＳ Ｐゴシック"/>
        <family val="3"/>
        <charset val="134"/>
        <scheme val="minor"/>
      </rPr>
      <t>营</t>
    </r>
    <r>
      <rPr>
        <sz val="11"/>
        <color theme="1"/>
        <rFont val="ＭＳ Ｐゴシック"/>
        <family val="3"/>
        <charset val="128"/>
        <scheme val="minor"/>
      </rPr>
      <t>二</t>
    </r>
    <r>
      <rPr>
        <sz val="11"/>
        <color theme="1"/>
        <rFont val="ＭＳ Ｐゴシック"/>
        <family val="3"/>
        <charset val="134"/>
        <scheme val="minor"/>
      </rPr>
      <t>锅头</t>
    </r>
  </si>
  <si>
    <r>
      <t>保定紫金山酒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</si>
  <si>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黄酒; 白酒; 果酒（含酒精）; 开胃酒; 食用酒精; 葡萄酒;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薄荷酒;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</si>
  <si>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日晒七里</t>
  </si>
  <si>
    <t>肖夏</t>
  </si>
  <si>
    <r>
      <t xml:space="preserve">朗姆酒; 苹果酒; 米酒;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</t>
    </r>
    <r>
      <rPr>
        <sz val="11"/>
        <color theme="1"/>
        <rFont val="ＭＳ Ｐゴシック"/>
        <family val="3"/>
        <charset val="134"/>
        <scheme val="minor"/>
      </rPr>
      <t>亚</t>
    </r>
    <r>
      <rPr>
        <sz val="11"/>
        <color theme="1"/>
        <rFont val="ＭＳ Ｐゴシック"/>
        <family val="3"/>
        <charset val="128"/>
        <scheme val="minor"/>
      </rPr>
      <t>力酒; 伏特加酒;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开胃酒; 茴芹酒（利口酒）</t>
    </r>
  </si>
  <si>
    <r>
      <t>竹</t>
    </r>
    <r>
      <rPr>
        <sz val="11"/>
        <color theme="1"/>
        <rFont val="ＭＳ Ｐゴシック"/>
        <family val="3"/>
        <charset val="134"/>
        <scheme val="minor"/>
      </rPr>
      <t>庐</t>
    </r>
    <r>
      <rPr>
        <sz val="11"/>
        <color theme="1"/>
        <rFont val="ＭＳ Ｐゴシック"/>
        <family val="3"/>
        <charset val="128"/>
        <scheme val="minor"/>
      </rPr>
      <t>甄</t>
    </r>
    <r>
      <rPr>
        <sz val="11"/>
        <color theme="1"/>
        <rFont val="ＭＳ Ｐゴシック"/>
        <family val="3"/>
        <charset val="134"/>
        <scheme val="minor"/>
      </rPr>
      <t>选</t>
    </r>
  </si>
  <si>
    <r>
      <t>陈</t>
    </r>
    <r>
      <rPr>
        <sz val="11"/>
        <color theme="1"/>
        <rFont val="ＭＳ Ｐゴシック"/>
        <family val="3"/>
        <charset val="128"/>
        <scheme val="minor"/>
      </rPr>
      <t>彦芳</t>
    </r>
  </si>
  <si>
    <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黄酒; 米酒</t>
    </r>
  </si>
  <si>
    <t>和宜宝</t>
  </si>
  <si>
    <r>
      <t>江</t>
    </r>
    <r>
      <rPr>
        <sz val="11"/>
        <color theme="1"/>
        <rFont val="ＭＳ Ｐゴシック"/>
        <family val="3"/>
        <charset val="134"/>
        <scheme val="minor"/>
      </rPr>
      <t>苏</t>
    </r>
    <r>
      <rPr>
        <sz val="11"/>
        <color theme="1"/>
        <rFont val="ＭＳ Ｐゴシック"/>
        <family val="3"/>
        <charset val="128"/>
        <scheme val="minor"/>
      </rPr>
      <t>鑫双洋生物科技有限公司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</si>
  <si>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白酒; 餐后酒（利口酒和烈酒）; 利口酒; 露酒;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果酒（含酒精）; 黄酒</t>
    </r>
  </si>
  <si>
    <r>
      <t>好</t>
    </r>
    <r>
      <rPr>
        <sz val="11"/>
        <color theme="1"/>
        <rFont val="ＭＳ Ｐゴシック"/>
        <family val="3"/>
        <charset val="134"/>
        <scheme val="minor"/>
      </rPr>
      <t>顽</t>
    </r>
    <r>
      <rPr>
        <sz val="11"/>
        <color theme="1"/>
        <rFont val="ＭＳ Ｐゴシック"/>
        <family val="3"/>
        <charset val="128"/>
        <scheme val="minor"/>
      </rPr>
      <t>野</t>
    </r>
  </si>
  <si>
    <r>
      <t>四川餐</t>
    </r>
    <r>
      <rPr>
        <sz val="11"/>
        <color theme="1"/>
        <rFont val="ＭＳ Ｐゴシック"/>
        <family val="3"/>
        <charset val="134"/>
        <scheme val="minor"/>
      </rPr>
      <t>创</t>
    </r>
    <r>
      <rPr>
        <sz val="11"/>
        <color theme="1"/>
        <rFont val="ＭＳ Ｐゴシック"/>
        <family val="3"/>
        <charset val="128"/>
        <scheme val="minor"/>
      </rPr>
      <t>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</si>
  <si>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 xml:space="preserve">水果汽酒;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果酒; 苹果酒; 葡萄酒; 梨酒;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黄酒</t>
    </r>
  </si>
  <si>
    <r>
      <t>宁</t>
    </r>
    <r>
      <rPr>
        <sz val="11"/>
        <color theme="1"/>
        <rFont val="ＭＳ Ｐゴシック"/>
        <family val="3"/>
        <charset val="134"/>
        <scheme val="minor"/>
      </rPr>
      <t>滩</t>
    </r>
  </si>
  <si>
    <r>
      <t>河南</t>
    </r>
    <r>
      <rPr>
        <sz val="11"/>
        <color theme="1"/>
        <rFont val="ＭＳ Ｐゴシック"/>
        <family val="3"/>
        <charset val="134"/>
        <scheme val="minor"/>
      </rPr>
      <t>顶</t>
    </r>
    <r>
      <rPr>
        <sz val="11"/>
        <color theme="1"/>
        <rFont val="ＭＳ Ｐゴシック"/>
        <family val="3"/>
        <charset val="128"/>
        <scheme val="minor"/>
      </rPr>
      <t>末食品有限公司</t>
    </r>
  </si>
  <si>
    <r>
      <t>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白酒; 葡萄酒; 蜂蜜酒;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</si>
  <si>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农</t>
    </r>
    <r>
      <rPr>
        <sz val="11"/>
        <color theme="1"/>
        <rFont val="ＭＳ Ｐゴシック"/>
        <family val="3"/>
        <charset val="128"/>
        <scheme val="minor"/>
      </rPr>
      <t>夫追梦</t>
    </r>
  </si>
  <si>
    <r>
      <t>宜昌</t>
    </r>
    <r>
      <rPr>
        <sz val="11"/>
        <color theme="1"/>
        <rFont val="ＭＳ Ｐゴシック"/>
        <family val="3"/>
        <charset val="134"/>
        <scheme val="minor"/>
      </rPr>
      <t>邓</t>
    </r>
    <r>
      <rPr>
        <sz val="11"/>
        <color theme="1"/>
        <rFont val="ＭＳ Ｐゴシック"/>
        <family val="3"/>
        <charset val="128"/>
        <scheme val="minor"/>
      </rPr>
      <t>村</t>
    </r>
    <r>
      <rPr>
        <sz val="11"/>
        <color theme="1"/>
        <rFont val="ＭＳ Ｐゴシック"/>
        <family val="3"/>
        <charset val="134"/>
        <scheme val="minor"/>
      </rPr>
      <t>农业发</t>
    </r>
    <r>
      <rPr>
        <sz val="11"/>
        <color theme="1"/>
        <rFont val="ＭＳ Ｐゴシック"/>
        <family val="3"/>
        <charset val="128"/>
        <scheme val="minor"/>
      </rPr>
      <t>展有限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</si>
  <si>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 xml:space="preserve">果酒; 烈酒; 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>酒; 黄酒; 米酒;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高粱酒; 白酒</t>
    </r>
  </si>
  <si>
    <t>XIAOLI DABAI</t>
  </si>
  <si>
    <r>
      <t>广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法曼网</t>
    </r>
    <r>
      <rPr>
        <sz val="11"/>
        <color theme="1"/>
        <rFont val="ＭＳ Ｐゴシック"/>
        <family val="3"/>
        <charset val="134"/>
        <scheme val="minor"/>
      </rPr>
      <t>络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</si>
  <si>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 xml:space="preserve">利口酒;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食用酒精; 米酒; 青稞酒;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酒; 黄酒</t>
    </r>
  </si>
  <si>
    <t>房琪</t>
  </si>
  <si>
    <r>
      <t>北京小楼南</t>
    </r>
    <r>
      <rPr>
        <sz val="11"/>
        <color theme="1"/>
        <rFont val="ＭＳ Ｐゴシック"/>
        <family val="3"/>
        <charset val="134"/>
        <scheme val="minor"/>
      </rPr>
      <t>风</t>
    </r>
    <r>
      <rPr>
        <sz val="11"/>
        <color theme="1"/>
        <rFont val="ＭＳ Ｐゴシック"/>
        <family val="3"/>
        <charset val="128"/>
        <scheme val="minor"/>
      </rPr>
      <t>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媒有限公司</t>
    </r>
  </si>
  <si>
    <r>
      <t xml:space="preserve">威士忌; 清酒;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伏特加酒; 米酒; 汽酒; 白酒; 果酒</t>
    </r>
  </si>
  <si>
    <r>
      <t>南平市武夷山水品牌运</t>
    </r>
    <r>
      <rPr>
        <sz val="11"/>
        <color theme="1"/>
        <rFont val="ＭＳ Ｐゴシック"/>
        <family val="3"/>
        <charset val="134"/>
        <scheme val="minor"/>
      </rPr>
      <t>营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</si>
  <si>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威士忌; 白酒; 果酒（含酒精）; 朗姆酒;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伏特加酒; 葡萄酒</t>
    </r>
  </si>
  <si>
    <t>花小肆</t>
  </si>
  <si>
    <t>彭友兵</t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</si>
  <si>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果酒（含酒精）; 威士忌;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青稞酒; 葡萄酒; 白酒</t>
    </r>
  </si>
  <si>
    <t>COFFEEMUSE</t>
  </si>
  <si>
    <r>
      <t>广</t>
    </r>
    <r>
      <rPr>
        <sz val="11"/>
        <color theme="1"/>
        <rFont val="ＭＳ Ｐゴシック"/>
        <family val="3"/>
        <charset val="134"/>
        <scheme val="minor"/>
      </rPr>
      <t>东硕</t>
    </r>
    <r>
      <rPr>
        <sz val="11"/>
        <color theme="1"/>
        <rFont val="ＭＳ Ｐゴシック"/>
        <family val="3"/>
        <charset val="128"/>
        <scheme val="minor"/>
      </rPr>
      <t>柏网</t>
    </r>
    <r>
      <rPr>
        <sz val="11"/>
        <color theme="1"/>
        <rFont val="ＭＳ Ｐゴシック"/>
        <family val="3"/>
        <charset val="134"/>
        <scheme val="minor"/>
      </rPr>
      <t>络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</si>
  <si>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清酒（日本米酒）; 威士忌; 伏特加酒; 朗姆酒; 咖啡利口酒;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</si>
  <si>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艾上青稞</t>
  </si>
  <si>
    <t>南阳市新航生物科技有限公司</t>
  </si>
  <si>
    <r>
      <t>烈酒; 白酒; 葡萄酒; 青稞酒; 梅酒; 高粱酒;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果酒; 米酒</t>
    </r>
  </si>
  <si>
    <r>
      <t>洛</t>
    </r>
    <r>
      <rPr>
        <sz val="11"/>
        <color theme="1"/>
        <rFont val="ＭＳ Ｐゴシック"/>
        <family val="3"/>
        <charset val="134"/>
        <scheme val="minor"/>
      </rPr>
      <t>玛</t>
    </r>
    <r>
      <rPr>
        <sz val="11"/>
        <color theme="1"/>
        <rFont val="ＭＳ Ｐゴシック"/>
        <family val="3"/>
        <charset val="128"/>
        <scheme val="minor"/>
      </rPr>
      <t>斯</t>
    </r>
  </si>
  <si>
    <r>
      <t>上海酒来</t>
    </r>
    <r>
      <rPr>
        <sz val="11"/>
        <color theme="1"/>
        <rFont val="ＭＳ Ｐゴシック"/>
        <family val="3"/>
        <charset val="134"/>
        <scheme val="minor"/>
      </rPr>
      <t>缘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</si>
  <si>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开胃酒;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果酒;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烈酒; 黄酒; 甜酒; 白酒; 葡萄酒</t>
    </r>
  </si>
  <si>
    <t>南国采物</t>
  </si>
  <si>
    <r>
      <t>广州南境滋味</t>
    </r>
    <r>
      <rPr>
        <sz val="11"/>
        <color theme="1"/>
        <rFont val="ＭＳ Ｐゴシック"/>
        <family val="3"/>
        <charset val="134"/>
        <scheme val="minor"/>
      </rPr>
      <t>电</t>
    </r>
    <r>
      <rPr>
        <sz val="11"/>
        <color theme="1"/>
        <rFont val="ＭＳ Ｐゴシック"/>
        <family val="3"/>
        <charset val="128"/>
        <scheme val="minor"/>
      </rPr>
      <t>子商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</si>
  <si>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</t>
    </r>
  </si>
  <si>
    <t>由子好物</t>
  </si>
  <si>
    <r>
      <t>金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由子来了科技有限公司</t>
    </r>
  </si>
  <si>
    <r>
      <t>苹果酒;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青稞酒; 黄酒; 果酒（含酒精）</t>
    </r>
  </si>
  <si>
    <r>
      <t>诚头乡</t>
    </r>
    <r>
      <rPr>
        <sz val="11"/>
        <color theme="1"/>
        <rFont val="ＭＳ Ｐゴシック"/>
        <family val="3"/>
        <charset val="128"/>
        <scheme val="minor"/>
      </rPr>
      <t>理</t>
    </r>
  </si>
  <si>
    <r>
      <t>重</t>
    </r>
    <r>
      <rPr>
        <sz val="11"/>
        <color theme="1"/>
        <rFont val="ＭＳ Ｐゴシック"/>
        <family val="3"/>
        <charset val="134"/>
        <scheme val="minor"/>
      </rPr>
      <t>庆</t>
    </r>
    <r>
      <rPr>
        <sz val="11"/>
        <color theme="1"/>
        <rFont val="ＭＳ Ｐゴシック"/>
        <family val="3"/>
        <charset val="128"/>
        <scheme val="minor"/>
      </rPr>
      <t>市城市建</t>
    </r>
    <r>
      <rPr>
        <sz val="11"/>
        <color theme="1"/>
        <rFont val="ＭＳ Ｐゴシック"/>
        <family val="3"/>
        <charset val="134"/>
        <scheme val="minor"/>
      </rPr>
      <t>设</t>
    </r>
    <r>
      <rPr>
        <sz val="11"/>
        <color theme="1"/>
        <rFont val="ＭＳ Ｐゴシック"/>
        <family val="3"/>
        <charset val="128"/>
        <scheme val="minor"/>
      </rPr>
      <t>土地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</si>
  <si>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利口酒;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食用酒精; 米酒; 白酒; 葡萄酒; 蜂蜜酒; 威士忌</t>
    </r>
  </si>
  <si>
    <r>
      <t>信阳美呈文旅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</si>
  <si>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米酒;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薄荷酒</t>
    </r>
  </si>
  <si>
    <r>
      <t>城</t>
    </r>
    <r>
      <rPr>
        <sz val="11"/>
        <color theme="1"/>
        <rFont val="ＭＳ Ｐゴシック"/>
        <family val="3"/>
        <charset val="134"/>
        <scheme val="minor"/>
      </rPr>
      <t>头乡</t>
    </r>
    <r>
      <rPr>
        <sz val="11"/>
        <color theme="1"/>
        <rFont val="ＭＳ Ｐゴシック"/>
        <family val="3"/>
        <charset val="128"/>
        <scheme val="minor"/>
      </rPr>
      <t>理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</si>
  <si>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白酒; 食用酒精; 果酒（含酒精）; 米酒; 葡萄酒; 利口酒; 蜂蜜酒</t>
    </r>
  </si>
  <si>
    <r>
      <t>城投</t>
    </r>
    <r>
      <rPr>
        <sz val="11"/>
        <color theme="1"/>
        <rFont val="ＭＳ Ｐゴシック"/>
        <family val="3"/>
        <charset val="134"/>
        <scheme val="minor"/>
      </rPr>
      <t>乡</t>
    </r>
    <r>
      <rPr>
        <sz val="11"/>
        <color theme="1"/>
        <rFont val="ＭＳ Ｐゴシック"/>
        <family val="3"/>
        <charset val="128"/>
        <scheme val="minor"/>
      </rPr>
      <t>俚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</si>
  <si>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食用酒精; 葡萄酒; 米酒;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利口酒; 蜂蜜酒; 果酒（含酒精）</t>
    </r>
  </si>
  <si>
    <r>
      <t>乡</t>
    </r>
    <r>
      <rPr>
        <sz val="11"/>
        <color theme="1"/>
        <rFont val="ＭＳ Ｐゴシック"/>
        <family val="3"/>
        <charset val="128"/>
        <scheme val="minor"/>
      </rPr>
      <t>俚城</t>
    </r>
    <r>
      <rPr>
        <sz val="11"/>
        <color theme="1"/>
        <rFont val="ＭＳ Ｐゴシック"/>
        <family val="3"/>
        <charset val="134"/>
        <scheme val="minor"/>
      </rPr>
      <t>头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</si>
  <si>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食用酒精;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白酒; 米酒; 果酒（含酒精）; 利口酒; 蜂蜜酒; 威士忌</t>
    </r>
  </si>
  <si>
    <r>
      <t>诚</t>
    </r>
    <r>
      <rPr>
        <sz val="11"/>
        <color theme="1"/>
        <rFont val="ＭＳ Ｐゴシック"/>
        <family val="3"/>
        <charset val="128"/>
        <scheme val="minor"/>
      </rPr>
      <t>投</t>
    </r>
    <r>
      <rPr>
        <sz val="11"/>
        <color theme="1"/>
        <rFont val="ＭＳ Ｐゴシック"/>
        <family val="3"/>
        <charset val="134"/>
        <scheme val="minor"/>
      </rPr>
      <t>乡</t>
    </r>
    <r>
      <rPr>
        <sz val="11"/>
        <color theme="1"/>
        <rFont val="ＭＳ Ｐゴシック"/>
        <family val="3"/>
        <charset val="128"/>
        <scheme val="minor"/>
      </rPr>
      <t>里</t>
    </r>
  </si>
  <si>
    <r>
      <t>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威士忌; 果酒（含酒精）; 食用酒精; 蜂蜜酒; 米酒; 白酒; 利口酒;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</si>
  <si>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报</t>
    </r>
    <r>
      <rPr>
        <sz val="11"/>
        <color theme="1"/>
        <rFont val="ＭＳ Ｐゴシック"/>
        <family val="3"/>
        <charset val="128"/>
        <scheme val="minor"/>
      </rPr>
      <t>恩塔</t>
    </r>
  </si>
  <si>
    <r>
      <t>泸</t>
    </r>
    <r>
      <rPr>
        <sz val="11"/>
        <color theme="1"/>
        <rFont val="ＭＳ Ｐゴシック"/>
        <family val="3"/>
        <charset val="128"/>
        <scheme val="minor"/>
      </rPr>
      <t>州篆黔酒</t>
    </r>
    <r>
      <rPr>
        <sz val="11"/>
        <color theme="1"/>
        <rFont val="ＭＳ Ｐゴシック"/>
        <family val="3"/>
        <charset val="134"/>
        <scheme val="minor"/>
      </rPr>
      <t>类营销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</si>
  <si>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汽酒; 果酒（含酒精）;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白酒; 伏特加酒;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</si>
  <si>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金蛋大</t>
    </r>
    <r>
      <rPr>
        <sz val="11"/>
        <color theme="1"/>
        <rFont val="ＭＳ Ｐゴシック"/>
        <family val="3"/>
        <charset val="134"/>
        <scheme val="minor"/>
      </rPr>
      <t>师</t>
    </r>
  </si>
  <si>
    <r>
      <t>尚佳</t>
    </r>
    <r>
      <rPr>
        <sz val="11"/>
        <color theme="1"/>
        <rFont val="ＭＳ Ｐゴシック"/>
        <family val="3"/>
        <charset val="129"/>
        <scheme val="minor"/>
      </rPr>
      <t>优</t>
    </r>
    <r>
      <rPr>
        <sz val="11"/>
        <color theme="1"/>
        <rFont val="ＭＳ Ｐゴシック"/>
        <family val="3"/>
        <charset val="128"/>
        <scheme val="minor"/>
      </rPr>
      <t>品三河市商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</si>
  <si>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伏特加酒;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朗姆酒; 白酒; 食用酒精</t>
    </r>
  </si>
  <si>
    <r>
      <t>滋</t>
    </r>
    <r>
      <rPr>
        <sz val="11"/>
        <color theme="1"/>
        <rFont val="ＭＳ Ｐゴシック"/>
        <family val="3"/>
        <charset val="134"/>
        <scheme val="minor"/>
      </rPr>
      <t>尔润</t>
    </r>
  </si>
  <si>
    <r>
      <t>陕</t>
    </r>
    <r>
      <rPr>
        <sz val="11"/>
        <color theme="1"/>
        <rFont val="ＭＳ Ｐゴシック"/>
        <family val="3"/>
        <charset val="128"/>
        <scheme val="minor"/>
      </rPr>
      <t>西滋</t>
    </r>
    <r>
      <rPr>
        <sz val="11"/>
        <color theme="1"/>
        <rFont val="ＭＳ Ｐゴシック"/>
        <family val="3"/>
        <charset val="134"/>
        <scheme val="minor"/>
      </rPr>
      <t>尔润</t>
    </r>
    <r>
      <rPr>
        <sz val="11"/>
        <color theme="1"/>
        <rFont val="ＭＳ Ｐゴシック"/>
        <family val="3"/>
        <charset val="128"/>
        <scheme val="minor"/>
      </rPr>
      <t>食品健康</t>
    </r>
    <r>
      <rPr>
        <sz val="11"/>
        <color theme="1"/>
        <rFont val="ＭＳ Ｐゴシック"/>
        <family val="3"/>
        <charset val="134"/>
        <scheme val="minor"/>
      </rPr>
      <t>产业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</si>
  <si>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米酒; 白干酒（中国白酒）;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清酒; 高粱酒;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黄酒; 白酒</t>
    </r>
  </si>
  <si>
    <t>中酌清酒</t>
  </si>
  <si>
    <r>
      <t>中酌酒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（江</t>
    </r>
    <r>
      <rPr>
        <sz val="11"/>
        <color theme="1"/>
        <rFont val="ＭＳ Ｐゴシック"/>
        <family val="3"/>
        <charset val="134"/>
        <scheme val="minor"/>
      </rPr>
      <t>苏</t>
    </r>
    <r>
      <rPr>
        <sz val="11"/>
        <color theme="1"/>
        <rFont val="ＭＳ Ｐゴシック"/>
        <family val="3"/>
        <charset val="128"/>
        <scheme val="minor"/>
      </rPr>
      <t>）股份有限公司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</si>
  <si>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威士忌; 果酒; 利口酒; 清酒; 米酒; 青稞酒; 开胃酒</t>
    </r>
  </si>
  <si>
    <t>格健达</t>
  </si>
  <si>
    <t>杭州健达升合成生物科技有限公司</t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</si>
  <si>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茴香酒（利口酒）; 苹果酒;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茴芹酒（利口酒）; 薄荷酒; 开胃酒; </t>
    </r>
    <r>
      <rPr>
        <sz val="11"/>
        <color theme="1"/>
        <rFont val="ＭＳ Ｐゴシック"/>
        <family val="3"/>
        <charset val="134"/>
        <scheme val="minor"/>
      </rPr>
      <t>亚</t>
    </r>
    <r>
      <rPr>
        <sz val="11"/>
        <color theme="1"/>
        <rFont val="ＭＳ Ｐゴシック"/>
        <family val="3"/>
        <charset val="128"/>
        <scheme val="minor"/>
      </rPr>
      <t>力酒; 苦味酒</t>
    </r>
  </si>
  <si>
    <r>
      <t>醉清</t>
    </r>
    <r>
      <rPr>
        <sz val="11"/>
        <color theme="1"/>
        <rFont val="ＭＳ Ｐゴシック"/>
        <family val="3"/>
        <charset val="134"/>
        <scheme val="minor"/>
      </rPr>
      <t>净</t>
    </r>
  </si>
  <si>
    <r>
      <t>刘向</t>
    </r>
    <r>
      <rPr>
        <sz val="11"/>
        <color theme="1"/>
        <rFont val="ＭＳ Ｐゴシック"/>
        <family val="3"/>
        <charset val="134"/>
        <scheme val="minor"/>
      </rPr>
      <t>琼</t>
    </r>
  </si>
  <si>
    <r>
      <t xml:space="preserve">果酒（含酒精）; 白酒;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利口酒;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威士忌; 葡萄酒</t>
    </r>
  </si>
  <si>
    <t>毛雪汪</t>
  </si>
  <si>
    <r>
      <t>腾讯</t>
    </r>
    <r>
      <rPr>
        <sz val="11"/>
        <color theme="1"/>
        <rFont val="ＭＳ Ｐゴシック"/>
        <family val="3"/>
        <charset val="128"/>
        <scheme val="minor"/>
      </rPr>
      <t>科技（深圳）有限公司</t>
    </r>
  </si>
  <si>
    <r>
      <t>白干酒（中国白酒）; 米酒; 含酒精的水果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高粱酒; 葡萄酒; 威士忌;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朗姆酒</t>
    </r>
  </si>
  <si>
    <t>芯氿</t>
  </si>
  <si>
    <r>
      <t>奈</t>
    </r>
    <r>
      <rPr>
        <sz val="11"/>
        <color theme="1"/>
        <rFont val="ＭＳ Ｐゴシック"/>
        <family val="3"/>
        <charset val="134"/>
        <scheme val="minor"/>
      </rPr>
      <t>尔</t>
    </r>
    <r>
      <rPr>
        <sz val="11"/>
        <color theme="1"/>
        <rFont val="ＭＳ Ｐゴシック"/>
        <family val="3"/>
        <charset val="128"/>
        <scheme val="minor"/>
      </rPr>
      <t>跨境</t>
    </r>
    <r>
      <rPr>
        <sz val="11"/>
        <color theme="1"/>
        <rFont val="ＭＳ Ｐゴシック"/>
        <family val="3"/>
        <charset val="134"/>
        <scheme val="minor"/>
      </rPr>
      <t>电</t>
    </r>
    <r>
      <rPr>
        <sz val="11"/>
        <color theme="1"/>
        <rFont val="ＭＳ Ｐゴシック"/>
        <family val="3"/>
        <charset val="128"/>
        <scheme val="minor"/>
      </rPr>
      <t>商（深圳）有限公司</t>
    </r>
  </si>
  <si>
    <r>
      <t>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朗姆酒; 威士忌; 伏特加酒;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清酒（日本米酒）</t>
    </r>
  </si>
  <si>
    <t>合昶号</t>
  </si>
  <si>
    <r>
      <t>烟台市合昶商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</si>
  <si>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甜酒; 果酒（含酒精）; 黄酒; 白干酒（中国白酒）; 露酒; 高粱酒;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烈酒; 威士忌</t>
    </r>
  </si>
  <si>
    <t>伊森工</t>
  </si>
  <si>
    <r>
      <t>伊春林</t>
    </r>
    <r>
      <rPr>
        <sz val="11"/>
        <color theme="1"/>
        <rFont val="ＭＳ Ｐゴシック"/>
        <family val="3"/>
        <charset val="134"/>
        <scheme val="minor"/>
      </rPr>
      <t>业发</t>
    </r>
    <r>
      <rPr>
        <sz val="11"/>
        <color theme="1"/>
        <rFont val="ＭＳ Ｐゴシック"/>
        <family val="3"/>
        <charset val="128"/>
        <scheme val="minor"/>
      </rPr>
      <t>展集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股份有限公司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</si>
  <si>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威士忌; 果酒（含酒精）; 薄荷酒;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以蒸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主的开胃酒; 葡萄酒</t>
    </r>
  </si>
  <si>
    <t>申湘</t>
  </si>
  <si>
    <r>
      <t>湖南申湘汽</t>
    </r>
    <r>
      <rPr>
        <sz val="11"/>
        <color theme="1"/>
        <rFont val="ＭＳ Ｐゴシック"/>
        <family val="3"/>
        <charset val="134"/>
        <scheme val="minor"/>
      </rPr>
      <t>车</t>
    </r>
    <r>
      <rPr>
        <sz val="11"/>
        <color theme="1"/>
        <rFont val="ＭＳ Ｐゴシック"/>
        <family val="3"/>
        <charset val="128"/>
        <scheme val="minor"/>
      </rPr>
      <t>星沙商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广</t>
    </r>
    <r>
      <rPr>
        <sz val="11"/>
        <color theme="1"/>
        <rFont val="ＭＳ Ｐゴシック"/>
        <family val="3"/>
        <charset val="134"/>
        <scheme val="minor"/>
      </rPr>
      <t>场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</si>
  <si>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</si>
  <si>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DRAGON FANDANGO VODKA</t>
  </si>
  <si>
    <r>
      <t>击</t>
    </r>
    <r>
      <rPr>
        <sz val="11"/>
        <color theme="1"/>
        <rFont val="ＭＳ Ｐゴシック"/>
        <family val="3"/>
        <charset val="128"/>
        <scheme val="minor"/>
      </rPr>
      <t>倒巨人公司</t>
    </r>
  </si>
  <si>
    <r>
      <t>含伏特加酒的酒精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伏特加酒;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</t>
    </r>
  </si>
  <si>
    <t>SOSUS MEDITERRANEAN GIN</t>
  </si>
  <si>
    <r>
      <t>含杜松子酒的酒精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杜松子酒</t>
    </r>
  </si>
  <si>
    <t>S姐</t>
  </si>
  <si>
    <r>
      <t>长</t>
    </r>
    <r>
      <rPr>
        <sz val="11"/>
        <color theme="1"/>
        <rFont val="ＭＳ Ｐゴシック"/>
        <family val="3"/>
        <charset val="128"/>
        <scheme val="minor"/>
      </rPr>
      <t>沙要的文化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媒有限公司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</si>
  <si>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黄酒; 甜酒; 水果汽酒;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主的开胃酒;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</t>
    </r>
  </si>
  <si>
    <r>
      <t>悦容</t>
    </r>
    <r>
      <rPr>
        <sz val="11"/>
        <color theme="1"/>
        <rFont val="ＭＳ Ｐゴシック"/>
        <family val="3"/>
        <charset val="134"/>
        <scheme val="minor"/>
      </rPr>
      <t>觅</t>
    </r>
    <r>
      <rPr>
        <sz val="11"/>
        <color theme="1"/>
        <rFont val="ＭＳ Ｐゴシック"/>
        <family val="3"/>
        <charset val="128"/>
        <scheme val="minor"/>
      </rPr>
      <t>雪</t>
    </r>
  </si>
  <si>
    <r>
      <t>好棣(山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)生物科技有限公司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</si>
  <si>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青稞酒; 白酒; 黄酒;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蜂蜜酒;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</si>
  <si>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r>
      <t>倾</t>
    </r>
    <r>
      <rPr>
        <sz val="11"/>
        <color theme="1"/>
        <rFont val="ＭＳ Ｐゴシック"/>
        <family val="3"/>
        <charset val="128"/>
        <scheme val="minor"/>
      </rPr>
      <t>佑未来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</si>
  <si>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黄酒; 果酒（含酒精）; 葡萄酒;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青稞酒; 白酒; 蜂蜜酒;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</t>
    </r>
  </si>
  <si>
    <t>新港牌</t>
  </si>
  <si>
    <r>
      <t>天津津酒集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</si>
  <si>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开胃酒; 葡萄酒; 清酒;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</si>
  <si>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玉羊牌 YU YANG BRAND</t>
  </si>
  <si>
    <r>
      <t>清酒; 葡萄酒; 开胃酒;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</t>
    </r>
  </si>
  <si>
    <r>
      <t>梅林</t>
    </r>
    <r>
      <rPr>
        <sz val="11"/>
        <color theme="1"/>
        <rFont val="ＭＳ Ｐゴシック"/>
        <family val="3"/>
        <charset val="134"/>
        <scheme val="minor"/>
      </rPr>
      <t>阁</t>
    </r>
    <r>
      <rPr>
        <sz val="11"/>
        <color theme="1"/>
        <rFont val="ＭＳ Ｐゴシック"/>
        <family val="3"/>
        <charset val="128"/>
        <scheme val="minor"/>
      </rPr>
      <t xml:space="preserve">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茂</t>
    </r>
    <r>
      <rPr>
        <sz val="11"/>
        <color theme="1"/>
        <rFont val="ＭＳ Ｐゴシック"/>
        <family val="3"/>
        <charset val="134"/>
        <scheme val="minor"/>
      </rPr>
      <t>东</t>
    </r>
  </si>
  <si>
    <r>
      <t>江</t>
    </r>
    <r>
      <rPr>
        <sz val="11"/>
        <color theme="1"/>
        <rFont val="ＭＳ Ｐゴシック"/>
        <family val="3"/>
        <charset val="134"/>
        <scheme val="minor"/>
      </rPr>
      <t>苏</t>
    </r>
    <r>
      <rPr>
        <sz val="11"/>
        <color theme="1"/>
        <rFont val="ＭＳ Ｐゴシック"/>
        <family val="3"/>
        <charset val="128"/>
        <scheme val="minor"/>
      </rPr>
      <t>茅</t>
    </r>
    <r>
      <rPr>
        <sz val="11"/>
        <color theme="1"/>
        <rFont val="ＭＳ Ｐゴシック"/>
        <family val="3"/>
        <charset val="134"/>
        <scheme val="minor"/>
      </rPr>
      <t>酱</t>
    </r>
    <r>
      <rPr>
        <sz val="11"/>
        <color theme="1"/>
        <rFont val="ＭＳ Ｐゴシック"/>
        <family val="3"/>
        <charset val="128"/>
        <scheme val="minor"/>
      </rPr>
      <t>坊酒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</si>
  <si>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酒（烈酒）;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白酒; 果酒; 葡萄酒;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汽酒; 米酒; 高粱酒; 黄酒</t>
    </r>
  </si>
  <si>
    <r>
      <t>潮米汕</t>
    </r>
    <r>
      <rPr>
        <sz val="11"/>
        <color theme="1"/>
        <rFont val="ＭＳ Ｐゴシック"/>
        <family val="3"/>
        <charset val="134"/>
        <scheme val="minor"/>
      </rPr>
      <t>酿</t>
    </r>
  </si>
  <si>
    <r>
      <t>杭州沐美依企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</si>
  <si>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白酒; 威士忌;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开胃酒; 果酒; 黄酒; 米酒; 烈酒</t>
    </r>
  </si>
  <si>
    <r>
      <t>杨</t>
    </r>
    <r>
      <rPr>
        <sz val="11"/>
        <color theme="1"/>
        <rFont val="ＭＳ Ｐゴシック"/>
        <family val="3"/>
        <charset val="128"/>
        <scheme val="minor"/>
      </rPr>
      <t>茂</t>
    </r>
    <r>
      <rPr>
        <sz val="11"/>
        <color theme="1"/>
        <rFont val="ＭＳ Ｐゴシック"/>
        <family val="3"/>
        <charset val="134"/>
        <scheme val="minor"/>
      </rPr>
      <t>东</t>
    </r>
  </si>
  <si>
    <r>
      <t>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葡萄酒; 米酒; 黄酒; 果酒; 高粱酒;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白酒; 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</si>
  <si>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t>酌蒲萄公社</t>
  </si>
  <si>
    <r>
      <t>嘉</t>
    </r>
    <r>
      <rPr>
        <sz val="11"/>
        <color theme="1"/>
        <rFont val="ＭＳ Ｐゴシック"/>
        <family val="3"/>
        <charset val="134"/>
        <scheme val="minor"/>
      </rPr>
      <t>兴</t>
    </r>
    <r>
      <rPr>
        <sz val="11"/>
        <color theme="1"/>
        <rFont val="ＭＳ Ｐゴシック"/>
        <family val="3"/>
        <charset val="128"/>
        <scheme val="minor"/>
      </rPr>
      <t>市中</t>
    </r>
    <r>
      <rPr>
        <sz val="11"/>
        <color theme="1"/>
        <rFont val="ＭＳ Ｐゴシック"/>
        <family val="3"/>
        <charset val="134"/>
        <scheme val="minor"/>
      </rPr>
      <t>钦贸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</si>
  <si>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黄酒; 汽酒; 清酒（日本米酒）; 利口酒; 葡萄酒; 食用酒精; 果酒（含酒精）</t>
    </r>
  </si>
  <si>
    <r>
      <t>剑</t>
    </r>
    <r>
      <rPr>
        <sz val="11"/>
        <color theme="1"/>
        <rFont val="ＭＳ Ｐゴシック"/>
        <family val="3"/>
        <charset val="128"/>
        <scheme val="minor"/>
      </rPr>
      <t>康</t>
    </r>
  </si>
  <si>
    <r>
      <t>徐</t>
    </r>
    <r>
      <rPr>
        <sz val="11"/>
        <color theme="1"/>
        <rFont val="ＭＳ Ｐゴシック"/>
        <family val="3"/>
        <charset val="134"/>
        <scheme val="minor"/>
      </rPr>
      <t>鹏飞</t>
    </r>
  </si>
  <si>
    <r>
      <t xml:space="preserve">黄酒;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青稞酒; 米酒; 白干酒（中国白酒）; 高粱酒</t>
    </r>
  </si>
  <si>
    <r>
      <t>二</t>
    </r>
    <r>
      <rPr>
        <sz val="11"/>
        <color theme="1"/>
        <rFont val="ＭＳ Ｐゴシック"/>
        <family val="3"/>
        <charset val="134"/>
        <scheme val="minor"/>
      </rPr>
      <t>飘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馆</t>
    </r>
  </si>
  <si>
    <r>
      <t>四川丹景台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品有限公司</t>
    </r>
  </si>
  <si>
    <r>
      <t>苹果酒; 葡萄酒; 甘蔗制酒精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清酒（日本米酒）;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利口酒; 果酒（含酒精）</t>
    </r>
  </si>
  <si>
    <t>瀚晟坊</t>
  </si>
  <si>
    <r>
      <t>陈</t>
    </r>
    <r>
      <rPr>
        <sz val="11"/>
        <color theme="1"/>
        <rFont val="ＭＳ Ｐゴシック"/>
        <family val="3"/>
        <charset val="128"/>
        <scheme val="minor"/>
      </rPr>
      <t>叶</t>
    </r>
  </si>
  <si>
    <r>
      <t xml:space="preserve">果酒; 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高粱酒; 食用酒精;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</t>
    </r>
  </si>
  <si>
    <r>
      <t>寻</t>
    </r>
    <r>
      <rPr>
        <sz val="11"/>
        <color theme="1"/>
        <rFont val="ＭＳ Ｐゴシック"/>
        <family val="3"/>
        <charset val="128"/>
        <scheme val="minor"/>
      </rPr>
      <t>物</t>
    </r>
    <r>
      <rPr>
        <sz val="11"/>
        <color theme="1"/>
        <rFont val="ＭＳ Ｐゴシック"/>
        <family val="3"/>
        <charset val="134"/>
        <scheme val="minor"/>
      </rPr>
      <t>记</t>
    </r>
  </si>
  <si>
    <r>
      <t>四川城市帮网</t>
    </r>
    <r>
      <rPr>
        <sz val="11"/>
        <color theme="1"/>
        <rFont val="ＭＳ Ｐゴシック"/>
        <family val="3"/>
        <charset val="134"/>
        <scheme val="minor"/>
      </rPr>
      <t>络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</si>
  <si>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 xml:space="preserve">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葡萄酒;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白酒; 果酒（含酒精）; 米酒; 混合威士忌酒; 黄酒;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</si>
  <si>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闽汉</t>
  </si>
  <si>
    <r>
      <t>厦</t>
    </r>
    <r>
      <rPr>
        <sz val="11"/>
        <color theme="1"/>
        <rFont val="ＭＳ Ｐゴシック"/>
        <family val="3"/>
        <charset val="134"/>
        <scheme val="minor"/>
      </rPr>
      <t>门</t>
    </r>
    <r>
      <rPr>
        <sz val="11"/>
        <color theme="1"/>
        <rFont val="ＭＳ Ｐゴシック"/>
        <family val="3"/>
        <charset val="128"/>
        <scheme val="minor"/>
      </rPr>
      <t>惠馨酒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</si>
  <si>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果酒（含酒精）; 蒸煮提取物（利口酒和烈酒）; 黄酒; 米酒; 清酒; 青稞酒;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</t>
    </r>
  </si>
  <si>
    <r>
      <t>珑</t>
    </r>
    <r>
      <rPr>
        <sz val="11"/>
        <color theme="1"/>
        <rFont val="ＭＳ Ｐゴシック"/>
        <family val="3"/>
        <charset val="128"/>
        <scheme val="minor"/>
      </rPr>
      <t>晏（上海）文化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播有限公司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</si>
  <si>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开胃酒;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</t>
    </r>
  </si>
  <si>
    <r>
      <t>金遵大</t>
    </r>
    <r>
      <rPr>
        <sz val="11"/>
        <color theme="1"/>
        <rFont val="ＭＳ Ｐゴシック"/>
        <family val="3"/>
        <charset val="134"/>
        <scheme val="minor"/>
      </rPr>
      <t>师</t>
    </r>
  </si>
  <si>
    <r>
      <t>曹</t>
    </r>
    <r>
      <rPr>
        <sz val="11"/>
        <color theme="1"/>
        <rFont val="ＭＳ Ｐゴシック"/>
        <family val="3"/>
        <charset val="134"/>
        <scheme val="minor"/>
      </rPr>
      <t>锐</t>
    </r>
  </si>
  <si>
    <r>
      <t>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酒; 烈酒; 白酒;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黄酒;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高粱酒; 葡萄酒</t>
    </r>
  </si>
  <si>
    <r>
      <t>目</t>
    </r>
    <r>
      <rPr>
        <sz val="11"/>
        <color theme="1"/>
        <rFont val="ＭＳ Ｐゴシック"/>
        <family val="3"/>
        <charset val="134"/>
        <scheme val="minor"/>
      </rPr>
      <t>乐</t>
    </r>
    <r>
      <rPr>
        <sz val="11"/>
        <color theme="1"/>
        <rFont val="ＭＳ Ｐゴシック"/>
        <family val="3"/>
        <charset val="128"/>
        <scheme val="minor"/>
      </rPr>
      <t>生活</t>
    </r>
    <r>
      <rPr>
        <sz val="11"/>
        <color theme="1"/>
        <rFont val="ＭＳ Ｐゴシック"/>
        <family val="3"/>
        <charset val="134"/>
        <scheme val="minor"/>
      </rPr>
      <t>馆</t>
    </r>
  </si>
  <si>
    <r>
      <t>广州目</t>
    </r>
    <r>
      <rPr>
        <sz val="11"/>
        <color theme="1"/>
        <rFont val="ＭＳ Ｐゴシック"/>
        <family val="3"/>
        <charset val="134"/>
        <scheme val="minor"/>
      </rPr>
      <t>乐传</t>
    </r>
    <r>
      <rPr>
        <sz val="11"/>
        <color theme="1"/>
        <rFont val="ＭＳ Ｐゴシック"/>
        <family val="3"/>
        <charset val="128"/>
        <scheme val="minor"/>
      </rPr>
      <t>媒科技有限公司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</si>
  <si>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朗姆酒; 佐餐酒; 果酒; 伏特加酒; 威士忌; 黄酒; 白酒</t>
    </r>
  </si>
  <si>
    <t>界上花</t>
  </si>
  <si>
    <r>
      <t>龚</t>
    </r>
    <r>
      <rPr>
        <sz val="11"/>
        <color theme="1"/>
        <rFont val="ＭＳ Ｐゴシック"/>
        <family val="3"/>
        <charset val="128"/>
        <scheme val="minor"/>
      </rPr>
      <t>熙源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</si>
  <si>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葡萄酒;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果酒;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</si>
  <si>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麒南</t>
  </si>
  <si>
    <r>
      <t>厦</t>
    </r>
    <r>
      <rPr>
        <sz val="11"/>
        <color theme="1"/>
        <rFont val="ＭＳ Ｐゴシック"/>
        <family val="3"/>
        <charset val="134"/>
        <scheme val="minor"/>
      </rPr>
      <t>门</t>
    </r>
    <r>
      <rPr>
        <sz val="11"/>
        <color theme="1"/>
        <rFont val="ＭＳ Ｐゴシック"/>
        <family val="3"/>
        <charset val="128"/>
        <scheme val="minor"/>
      </rPr>
      <t>麒楠生物科技有限公司</t>
    </r>
  </si>
  <si>
    <r>
      <t>开胃酒; 果酒（含酒精）; 葡萄酒;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食用酒精;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</t>
    </r>
  </si>
  <si>
    <t>金册</t>
  </si>
  <si>
    <r>
      <t>北京金</t>
    </r>
    <r>
      <rPr>
        <sz val="11"/>
        <color theme="1"/>
        <rFont val="ＭＳ Ｐゴシック"/>
        <family val="3"/>
        <charset val="134"/>
        <scheme val="minor"/>
      </rPr>
      <t>实</t>
    </r>
    <r>
      <rPr>
        <sz val="11"/>
        <color theme="1"/>
        <rFont val="ＭＳ Ｐゴシック"/>
        <family val="3"/>
        <charset val="128"/>
        <scheme val="minor"/>
      </rPr>
      <t>利食品科技有限公司</t>
    </r>
  </si>
  <si>
    <t>黄酒; 米酒; 青稞酒; 清酒; 食用酒精; 汽酒; 葡萄酒; 甜酒; 白酒; 果酒</t>
  </si>
  <si>
    <t>大窑</t>
  </si>
  <si>
    <r>
      <t>内蒙古金元集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呼和浩特制酒厂股份有限公司</t>
    </r>
  </si>
  <si>
    <r>
      <t>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伏特加酒;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汽酒</t>
    </r>
  </si>
  <si>
    <r>
      <t>小</t>
    </r>
    <r>
      <rPr>
        <sz val="11"/>
        <color theme="1"/>
        <rFont val="ＭＳ Ｐゴシック"/>
        <family val="3"/>
        <charset val="134"/>
        <scheme val="minor"/>
      </rPr>
      <t>凯严选</t>
    </r>
  </si>
  <si>
    <r>
      <t>上海筱</t>
    </r>
    <r>
      <rPr>
        <sz val="11"/>
        <color theme="1"/>
        <rFont val="ＭＳ Ｐゴシック"/>
        <family val="3"/>
        <charset val="134"/>
        <scheme val="minor"/>
      </rPr>
      <t>凯实业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</si>
  <si>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</t>
    </r>
  </si>
  <si>
    <r>
      <t>三道拱</t>
    </r>
    <r>
      <rPr>
        <sz val="11"/>
        <color theme="1"/>
        <rFont val="ＭＳ Ｐゴシック"/>
        <family val="3"/>
        <charset val="134"/>
        <scheme val="minor"/>
      </rPr>
      <t>门</t>
    </r>
  </si>
  <si>
    <r>
      <t>四川若</t>
    </r>
    <r>
      <rPr>
        <sz val="11"/>
        <color theme="1"/>
        <rFont val="ＭＳ Ｐゴシック"/>
        <family val="3"/>
        <charset val="134"/>
        <scheme val="minor"/>
      </rPr>
      <t>见</t>
    </r>
    <r>
      <rPr>
        <sz val="11"/>
        <color theme="1"/>
        <rFont val="ＭＳ Ｐゴシック"/>
        <family val="3"/>
        <charset val="128"/>
        <scheme val="minor"/>
      </rPr>
      <t>文化科技有限公司</t>
    </r>
  </si>
  <si>
    <r>
      <t xml:space="preserve">米酒; 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葡萄酒;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</t>
    </r>
  </si>
  <si>
    <t>德洛米</t>
  </si>
  <si>
    <r>
      <t>杭州</t>
    </r>
    <r>
      <rPr>
        <sz val="11"/>
        <color theme="1"/>
        <rFont val="ＭＳ Ｐゴシック"/>
        <family val="3"/>
        <charset val="134"/>
        <scheme val="minor"/>
      </rPr>
      <t>铭</t>
    </r>
    <r>
      <rPr>
        <sz val="11"/>
        <color theme="1"/>
        <rFont val="ＭＳ Ｐゴシック"/>
        <family val="3"/>
        <charset val="128"/>
        <scheme val="minor"/>
      </rPr>
      <t>沁科技有限公司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</si>
  <si>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开胃酒; 米酒; 烈酒; 葡萄酒; 黄酒</t>
    </r>
  </si>
  <si>
    <r>
      <t>鑫一品雄</t>
    </r>
    <r>
      <rPr>
        <sz val="11"/>
        <color theme="1"/>
        <rFont val="ＭＳ Ｐゴシック"/>
        <family val="3"/>
        <charset val="134"/>
        <scheme val="minor"/>
      </rPr>
      <t>风</t>
    </r>
  </si>
  <si>
    <r>
      <t>沈阳宜美网</t>
    </r>
    <r>
      <rPr>
        <sz val="11"/>
        <color theme="1"/>
        <rFont val="ＭＳ Ｐゴシック"/>
        <family val="3"/>
        <charset val="134"/>
        <scheme val="minor"/>
      </rPr>
      <t>络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</si>
  <si>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白酒; 葡萄酒; 果酒（含酒精）</t>
    </r>
  </si>
  <si>
    <t>德洛米·DROMI</t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</si>
  <si>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黄酒; 白酒; 果酒（含酒精）; 米酒; 开胃酒;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烈酒</t>
    </r>
  </si>
  <si>
    <t>德洛米 · DEROMI</t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</si>
  <si>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米酒; 烈酒; 果酒（含酒精）; 开胃酒; 黄酒</t>
    </r>
  </si>
  <si>
    <r>
      <t>聪</t>
    </r>
    <r>
      <rPr>
        <sz val="11"/>
        <color theme="1"/>
        <rFont val="ＭＳ Ｐゴシック"/>
        <family val="3"/>
        <charset val="128"/>
        <scheme val="minor"/>
      </rPr>
      <t>冲冲</t>
    </r>
  </si>
  <si>
    <t>云南睿宸智能科技有限公司</t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</si>
  <si>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米酒;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开胃酒; 白酒; 餐后酒（利口酒和烈酒）;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朝</t>
    </r>
    <r>
      <rPr>
        <sz val="11"/>
        <color theme="1"/>
        <rFont val="ＭＳ Ｐゴシック"/>
        <family val="3"/>
        <charset val="134"/>
        <scheme val="minor"/>
      </rPr>
      <t>鲜</t>
    </r>
    <r>
      <rPr>
        <sz val="11"/>
        <color theme="1"/>
        <rFont val="ＭＳ Ｐゴシック"/>
        <family val="3"/>
        <charset val="128"/>
        <scheme val="minor"/>
      </rPr>
      <t>族米酒;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</si>
  <si>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t>炎黄醉</t>
  </si>
  <si>
    <r>
      <t>张</t>
    </r>
    <r>
      <rPr>
        <sz val="11"/>
        <color theme="1"/>
        <rFont val="ＭＳ Ｐゴシック"/>
        <family val="3"/>
        <charset val="128"/>
        <scheme val="minor"/>
      </rPr>
      <t>会根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</si>
  <si>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葡萄酒; 黄酒; 开胃酒; 白酒; 食用酒精; 果酒（含酒精）; 利口酒; 米酒; 蜂蜜酒</t>
    </r>
  </si>
  <si>
    <r>
      <t>御酒</t>
    </r>
    <r>
      <rPr>
        <sz val="11"/>
        <color theme="1"/>
        <rFont val="ＭＳ Ｐゴシック"/>
        <family val="3"/>
        <charset val="134"/>
        <scheme val="minor"/>
      </rPr>
      <t>倾</t>
    </r>
    <r>
      <rPr>
        <sz val="11"/>
        <color theme="1"/>
        <rFont val="ＭＳ Ｐゴシック"/>
        <family val="3"/>
        <charset val="128"/>
        <scheme val="minor"/>
      </rPr>
      <t>泉</t>
    </r>
  </si>
  <si>
    <r>
      <t>陕</t>
    </r>
    <r>
      <rPr>
        <sz val="11"/>
        <color theme="1"/>
        <rFont val="ＭＳ Ｐゴシック"/>
        <family val="3"/>
        <charset val="128"/>
        <scheme val="minor"/>
      </rPr>
      <t>西西</t>
    </r>
    <r>
      <rPr>
        <sz val="11"/>
        <color theme="1"/>
        <rFont val="ＭＳ Ｐゴシック"/>
        <family val="3"/>
        <charset val="134"/>
        <scheme val="minor"/>
      </rPr>
      <t>凤</t>
    </r>
    <r>
      <rPr>
        <sz val="11"/>
        <color theme="1"/>
        <rFont val="ＭＳ Ｐゴシック"/>
        <family val="3"/>
        <charset val="128"/>
        <scheme val="minor"/>
      </rPr>
      <t>酒股份有限公司</t>
    </r>
  </si>
  <si>
    <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含酒精的充气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</si>
  <si>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白酒;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开胃酒; 葡萄酒; 米酒; 烈酒</t>
    </r>
  </si>
  <si>
    <r>
      <t>中国</t>
    </r>
    <r>
      <rPr>
        <sz val="11"/>
        <color theme="1"/>
        <rFont val="ＭＳ Ｐゴシック"/>
        <family val="3"/>
        <charset val="134"/>
        <scheme val="minor"/>
      </rPr>
      <t>亚</t>
    </r>
    <r>
      <rPr>
        <sz val="11"/>
        <color theme="1"/>
        <rFont val="ＭＳ Ｐゴシック"/>
        <family val="3"/>
        <charset val="128"/>
        <scheme val="minor"/>
      </rPr>
      <t>欧商品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易博</t>
    </r>
    <r>
      <rPr>
        <sz val="11"/>
        <color theme="1"/>
        <rFont val="ＭＳ Ｐゴシック"/>
        <family val="3"/>
        <charset val="134"/>
        <scheme val="minor"/>
      </rPr>
      <t>览</t>
    </r>
    <r>
      <rPr>
        <sz val="11"/>
        <color theme="1"/>
        <rFont val="ＭＳ Ｐゴシック"/>
        <family val="3"/>
        <charset val="128"/>
        <scheme val="minor"/>
      </rPr>
      <t>会</t>
    </r>
  </si>
  <si>
    <r>
      <t>新疆国</t>
    </r>
    <r>
      <rPr>
        <sz val="11"/>
        <color theme="1"/>
        <rFont val="ＭＳ Ｐゴシック"/>
        <family val="3"/>
        <charset val="134"/>
        <scheme val="minor"/>
      </rPr>
      <t>际</t>
    </r>
    <r>
      <rPr>
        <sz val="11"/>
        <color theme="1"/>
        <rFont val="ＭＳ Ｐゴシック"/>
        <family val="3"/>
        <charset val="128"/>
        <scheme val="minor"/>
      </rPr>
      <t>博</t>
    </r>
    <r>
      <rPr>
        <sz val="11"/>
        <color theme="1"/>
        <rFont val="ＭＳ Ｐゴシック"/>
        <family val="3"/>
        <charset val="134"/>
        <scheme val="minor"/>
      </rPr>
      <t>览</t>
    </r>
    <r>
      <rPr>
        <sz val="11"/>
        <color theme="1"/>
        <rFont val="ＭＳ Ｐゴシック"/>
        <family val="3"/>
        <charset val="128"/>
        <scheme val="minor"/>
      </rPr>
      <t>事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局</t>
    </r>
  </si>
  <si>
    <r>
      <t xml:space="preserve">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果酒（含酒精）; 苹果酒; 高粱酒;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蜂蜜酒; 白酒;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</t>
    </r>
  </si>
  <si>
    <r>
      <t>中国-</t>
    </r>
    <r>
      <rPr>
        <sz val="11"/>
        <color theme="1"/>
        <rFont val="ＭＳ Ｐゴシック"/>
        <family val="3"/>
        <charset val="134"/>
        <scheme val="minor"/>
      </rPr>
      <t>亚</t>
    </r>
    <r>
      <rPr>
        <sz val="11"/>
        <color theme="1"/>
        <rFont val="ＭＳ Ｐゴシック"/>
        <family val="3"/>
        <charset val="128"/>
        <scheme val="minor"/>
      </rPr>
      <t>欧博</t>
    </r>
    <r>
      <rPr>
        <sz val="11"/>
        <color theme="1"/>
        <rFont val="ＭＳ Ｐゴシック"/>
        <family val="3"/>
        <charset val="134"/>
        <scheme val="minor"/>
      </rPr>
      <t>览</t>
    </r>
    <r>
      <rPr>
        <sz val="11"/>
        <color theme="1"/>
        <rFont val="ＭＳ Ｐゴシック"/>
        <family val="3"/>
        <charset val="128"/>
        <scheme val="minor"/>
      </rPr>
      <t>会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</si>
  <si>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 xml:space="preserve">汁; 草莓酒; 白酒; 果酒;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果酒（含酒精）</t>
    </r>
  </si>
  <si>
    <r>
      <t>哦吼小</t>
    </r>
    <r>
      <rPr>
        <sz val="11"/>
        <color theme="1"/>
        <rFont val="ＭＳ Ｐゴシック"/>
        <family val="3"/>
        <charset val="134"/>
        <scheme val="minor"/>
      </rPr>
      <t>闪电</t>
    </r>
  </si>
  <si>
    <r>
      <t>厦</t>
    </r>
    <r>
      <rPr>
        <sz val="11"/>
        <color theme="1"/>
        <rFont val="ＭＳ Ｐゴシック"/>
        <family val="3"/>
        <charset val="134"/>
        <scheme val="minor"/>
      </rPr>
      <t>门</t>
    </r>
    <r>
      <rPr>
        <sz val="11"/>
        <color theme="1"/>
        <rFont val="ＭＳ Ｐゴシック"/>
        <family val="3"/>
        <charset val="128"/>
        <scheme val="minor"/>
      </rPr>
      <t>无限探索文化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播有限公司</t>
    </r>
  </si>
  <si>
    <r>
      <t xml:space="preserve">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葡萄酒;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</si>
  <si>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VIVIENNE WESTWOOD</t>
  </si>
  <si>
    <r>
      <t>拉</t>
    </r>
    <r>
      <rPr>
        <sz val="11"/>
        <color theme="1"/>
        <rFont val="ＭＳ Ｐゴシック"/>
        <family val="3"/>
        <charset val="134"/>
        <scheme val="minor"/>
      </rPr>
      <t>缇</t>
    </r>
    <r>
      <rPr>
        <sz val="11"/>
        <color theme="1"/>
        <rFont val="ＭＳ Ｐゴシック"/>
        <family val="3"/>
        <charset val="128"/>
        <scheme val="minor"/>
      </rPr>
      <t>姆公司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</si>
  <si>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利口酒; 烈酒; 葡萄酒</t>
    </r>
  </si>
  <si>
    <t>芝醇</t>
  </si>
  <si>
    <r>
      <t>苗阿</t>
    </r>
    <r>
      <rPr>
        <sz val="11"/>
        <color theme="1"/>
        <rFont val="ＭＳ Ｐゴシック"/>
        <family val="3"/>
        <charset val="134"/>
        <scheme val="minor"/>
      </rPr>
      <t>满</t>
    </r>
    <r>
      <rPr>
        <sz val="11"/>
        <color theme="1"/>
        <rFont val="ＭＳ Ｐゴシック"/>
        <family val="3"/>
        <charset val="128"/>
        <scheme val="minor"/>
      </rPr>
      <t>（</t>
    </r>
    <r>
      <rPr>
        <sz val="11"/>
        <color theme="1"/>
        <rFont val="ＭＳ Ｐゴシック"/>
        <family val="3"/>
        <charset val="134"/>
        <scheme val="minor"/>
      </rPr>
      <t>贵</t>
    </r>
    <r>
      <rPr>
        <sz val="11"/>
        <color theme="1"/>
        <rFont val="ＭＳ Ｐゴシック"/>
        <family val="3"/>
        <charset val="128"/>
        <scheme val="minor"/>
      </rPr>
      <t>州）健康</t>
    </r>
    <r>
      <rPr>
        <sz val="11"/>
        <color theme="1"/>
        <rFont val="ＭＳ Ｐゴシック"/>
        <family val="3"/>
        <charset val="134"/>
        <scheme val="minor"/>
      </rPr>
      <t>产业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</si>
  <si>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t>烈酒; 露酒; 汽酒; 黄酒; 白干酒（中国白酒）; 梅酒; 食用酒精; 米酒; 高粱酒; 梨酒</t>
  </si>
  <si>
    <r>
      <t>泸</t>
    </r>
    <r>
      <rPr>
        <sz val="11"/>
        <color theme="1"/>
        <rFont val="ＭＳ Ｐゴシック"/>
        <family val="3"/>
        <charset val="128"/>
        <scheme val="minor"/>
      </rPr>
      <t>韵</t>
    </r>
  </si>
  <si>
    <r>
      <t>广州美台酒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</si>
  <si>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高粱酒; 白酒; 清酒; 黄酒</t>
    </r>
  </si>
  <si>
    <t>阳醇</t>
  </si>
  <si>
    <t>梅酒; 露酒; 汽酒; 黄酒; 食用酒精; 米酒; 高粱酒; 梨酒; 白干酒（中国白酒）; 烈酒</t>
  </si>
  <si>
    <r>
      <t>坊里</t>
    </r>
    <r>
      <rPr>
        <sz val="11"/>
        <color theme="1"/>
        <rFont val="ＭＳ Ｐゴシック"/>
        <family val="3"/>
        <charset val="134"/>
        <scheme val="minor"/>
      </rPr>
      <t>长</t>
    </r>
    <r>
      <rPr>
        <sz val="11"/>
        <color theme="1"/>
        <rFont val="ＭＳ Ｐゴシック"/>
        <family val="3"/>
        <charset val="128"/>
        <scheme val="minor"/>
      </rPr>
      <t>安小酒</t>
    </r>
    <r>
      <rPr>
        <sz val="11"/>
        <color theme="1"/>
        <rFont val="ＭＳ Ｐゴシック"/>
        <family val="3"/>
        <charset val="134"/>
        <scheme val="minor"/>
      </rPr>
      <t>馆</t>
    </r>
  </si>
  <si>
    <r>
      <t>陕</t>
    </r>
    <r>
      <rPr>
        <sz val="11"/>
        <color theme="1"/>
        <rFont val="ＭＳ Ｐゴシック"/>
        <family val="3"/>
        <charset val="128"/>
        <scheme val="minor"/>
      </rPr>
      <t>西文投榕</t>
    </r>
    <r>
      <rPr>
        <sz val="11"/>
        <color theme="1"/>
        <rFont val="ＭＳ Ｐゴシック"/>
        <family val="3"/>
        <charset val="134"/>
        <scheme val="minor"/>
      </rPr>
      <t>树</t>
    </r>
    <r>
      <rPr>
        <sz val="11"/>
        <color theme="1"/>
        <rFont val="ＭＳ Ｐゴシック"/>
        <family val="3"/>
        <charset val="128"/>
        <scheme val="minor"/>
      </rPr>
      <t>文化</t>
    </r>
    <r>
      <rPr>
        <sz val="11"/>
        <color theme="1"/>
        <rFont val="ＭＳ Ｐゴシック"/>
        <family val="3"/>
        <charset val="134"/>
        <scheme val="minor"/>
      </rPr>
      <t>产业发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</si>
  <si>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黄酒; 柑香酒; 利口酒; 清酒（日本米酒）;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米酒; 白酒;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蜂蜜酒;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苹果酒; 餐后酒（利口酒和烈酒）; 梨酒;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开胃酒</t>
    </r>
  </si>
  <si>
    <r>
      <t>大郝小</t>
    </r>
    <r>
      <rPr>
        <sz val="11"/>
        <color theme="1"/>
        <rFont val="ＭＳ Ｐゴシック"/>
        <family val="3"/>
        <charset val="134"/>
        <scheme val="minor"/>
      </rPr>
      <t>烧</t>
    </r>
  </si>
  <si>
    <r>
      <t>周建</t>
    </r>
    <r>
      <rPr>
        <sz val="11"/>
        <color theme="1"/>
        <rFont val="ＭＳ Ｐゴシック"/>
        <family val="3"/>
        <charset val="134"/>
        <scheme val="minor"/>
      </rPr>
      <t>宽</t>
    </r>
  </si>
  <si>
    <r>
      <t>米酒; 果酒;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威士忌; 高粱酒; 开胃酒</t>
    </r>
  </si>
  <si>
    <t>三江水</t>
  </si>
  <si>
    <r>
      <t>重</t>
    </r>
    <r>
      <rPr>
        <sz val="11"/>
        <color theme="1"/>
        <rFont val="ＭＳ Ｐゴシック"/>
        <family val="3"/>
        <charset val="134"/>
        <scheme val="minor"/>
      </rPr>
      <t>庆</t>
    </r>
    <r>
      <rPr>
        <sz val="11"/>
        <color theme="1"/>
        <rFont val="ＭＳ Ｐゴシック"/>
        <family val="3"/>
        <charset val="128"/>
        <scheme val="minor"/>
      </rPr>
      <t>市合川区嘉渠涪商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</si>
  <si>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清酒（日本米酒）; 白酒; 开胃酒;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苹果酒;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</t>
    </r>
  </si>
  <si>
    <t>孔明坊</t>
  </si>
  <si>
    <t>四川孔明酒坊有限公司</t>
  </si>
  <si>
    <t>露酒; 烈酒; 高粱酒; 白酒</t>
  </si>
  <si>
    <t>孔明酒坊</t>
  </si>
  <si>
    <t>烈酒; 露酒; 高粱酒; 白酒</t>
  </si>
  <si>
    <r>
      <t>缙绅</t>
    </r>
    <r>
      <rPr>
        <sz val="11"/>
        <color theme="1"/>
        <rFont val="ＭＳ Ｐゴシック"/>
        <family val="3"/>
        <charset val="128"/>
        <scheme val="minor"/>
      </rPr>
      <t>坊</t>
    </r>
  </si>
  <si>
    <t>金徽酒股份有限公司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</si>
  <si>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青稞酒; 葡萄酒; 米酒; 白酒; 黄酒; 利口酒; 清酒（日本米酒）</t>
    </r>
  </si>
  <si>
    <t>福雕十八</t>
  </si>
  <si>
    <r>
      <t>绍兴</t>
    </r>
    <r>
      <rPr>
        <sz val="11"/>
        <color theme="1"/>
        <rFont val="ＭＳ Ｐゴシック"/>
        <family val="3"/>
        <charset val="128"/>
        <scheme val="minor"/>
      </rPr>
      <t>咸亨酒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</si>
  <si>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白酒; 清酒（日本米酒）; 果酒（含酒精）; 葡萄酒; 米酒; 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</si>
  <si>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福雕十六</t>
  </si>
  <si>
    <r>
      <t xml:space="preserve">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白酒; 汽酒; 葡萄酒; 清酒（日本米酒）;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</si>
  <si>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</t>
    </r>
    <r>
      <rPr>
        <sz val="11"/>
        <color theme="1"/>
        <rFont val="ＭＳ Ｐゴシック"/>
        <family val="3"/>
        <charset val="134"/>
        <scheme val="minor"/>
      </rPr>
      <t>赵酱</t>
    </r>
    <r>
      <rPr>
        <sz val="11"/>
        <color theme="1"/>
        <rFont val="ＭＳ Ｐゴシック"/>
        <family val="3"/>
        <charset val="128"/>
        <scheme val="minor"/>
      </rPr>
      <t>台酒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</si>
  <si>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葡萄酒; 白酒; 果酒（含酒精）; 威士忌; 伏特加酒;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</si>
  <si>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福雕廿八</t>
  </si>
  <si>
    <r>
      <t>黄酒; 白酒; 葡萄酒; 清酒（日本米酒）;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果酒（含酒精）;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</si>
  <si>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福雕十二</t>
  </si>
  <si>
    <r>
      <t xml:space="preserve">汽酒; 黄酒; 白酒;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清酒（日本米酒）;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</si>
  <si>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轩</t>
    </r>
    <r>
      <rPr>
        <sz val="11"/>
        <color theme="1"/>
        <rFont val="ＭＳ Ｐゴシック"/>
        <family val="3"/>
        <charset val="128"/>
        <scheme val="minor"/>
      </rPr>
      <t>逸袋鼠 XUANYI KANGAROO</t>
    </r>
  </si>
  <si>
    <r>
      <t>深圳市皇家</t>
    </r>
    <r>
      <rPr>
        <sz val="11"/>
        <color theme="1"/>
        <rFont val="ＭＳ Ｐゴシック"/>
        <family val="3"/>
        <charset val="134"/>
        <scheme val="minor"/>
      </rPr>
      <t>陆</t>
    </r>
    <r>
      <rPr>
        <sz val="11"/>
        <color theme="1"/>
        <rFont val="ＭＳ Ｐゴシック"/>
        <family val="3"/>
        <charset val="128"/>
        <scheme val="minor"/>
      </rPr>
      <t>易酒庄</t>
    </r>
    <r>
      <rPr>
        <sz val="11"/>
        <color theme="1"/>
        <rFont val="ＭＳ Ｐゴシック"/>
        <family val="3"/>
        <charset val="134"/>
        <scheme val="minor"/>
      </rPr>
      <t>进</t>
    </r>
    <r>
      <rPr>
        <sz val="11"/>
        <color theme="1"/>
        <rFont val="ＭＳ Ｐゴシック"/>
        <family val="3"/>
        <charset val="128"/>
        <scheme val="minor"/>
      </rPr>
      <t>出口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</si>
  <si>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伏特加酒;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果酒; 朗姆酒; 果酒（含酒精）; 米酒; 利口酒; 威士忌</t>
    </r>
  </si>
  <si>
    <t>裕宝大成</t>
  </si>
  <si>
    <r>
      <t>辽</t>
    </r>
    <r>
      <rPr>
        <sz val="11"/>
        <color theme="1"/>
        <rFont val="ＭＳ Ｐゴシック"/>
        <family val="3"/>
        <charset val="128"/>
        <scheme val="minor"/>
      </rPr>
      <t>宁大成裕</t>
    </r>
    <r>
      <rPr>
        <sz val="11"/>
        <color theme="1"/>
        <rFont val="ＭＳ Ｐゴシック"/>
        <family val="3"/>
        <charset val="134"/>
        <scheme val="minor"/>
      </rPr>
      <t>实业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</si>
  <si>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白酒; 葡萄酒; 黄酒; 食用酒精;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</si>
  <si>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江小雅</t>
  </si>
  <si>
    <r>
      <t>重</t>
    </r>
    <r>
      <rPr>
        <sz val="11"/>
        <color theme="1"/>
        <rFont val="ＭＳ Ｐゴシック"/>
        <family val="3"/>
        <charset val="134"/>
        <scheme val="minor"/>
      </rPr>
      <t>庆</t>
    </r>
    <r>
      <rPr>
        <sz val="11"/>
        <color theme="1"/>
        <rFont val="ＭＳ Ｐゴシック"/>
        <family val="3"/>
        <charset val="128"/>
        <scheme val="minor"/>
      </rPr>
      <t>江小白酒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</si>
  <si>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威士忌; 果酒（含酒精）; 米酒; 葡萄酒; 白酒; 高粱酒;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</si>
  <si>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轩</t>
    </r>
    <r>
      <rPr>
        <sz val="11"/>
        <color theme="1"/>
        <rFont val="ＭＳ Ｐゴシック"/>
        <family val="3"/>
        <charset val="128"/>
        <scheme val="minor"/>
      </rPr>
      <t>邑袋鼠 XUANYI KANGAROO</t>
    </r>
  </si>
  <si>
    <r>
      <t xml:space="preserve">利口酒; 伏特加酒; 果酒（含酒精）; 米酒; 威士忌; 果酒;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朗姆酒</t>
    </r>
  </si>
  <si>
    <t>禾衡源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</si>
  <si>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州海衡酒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</si>
  <si>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米酒; 黄酒; 烈酒; 开胃酒; 利口酒; 果酒（含酒精）;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</si>
  <si>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长</t>
    </r>
    <r>
      <rPr>
        <sz val="11"/>
        <color theme="1"/>
        <rFont val="ＭＳ Ｐゴシック"/>
        <family val="3"/>
        <charset val="128"/>
        <scheme val="minor"/>
      </rPr>
      <t>子</t>
    </r>
    <r>
      <rPr>
        <sz val="11"/>
        <color theme="1"/>
        <rFont val="ＭＳ Ｐゴシック"/>
        <family val="3"/>
        <charset val="134"/>
        <scheme val="minor"/>
      </rPr>
      <t>营</t>
    </r>
  </si>
  <si>
    <r>
      <t>北京万富千秋商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</si>
  <si>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葡萄酒; 清酒（日本米酒）; 黄酒;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</si>
  <si>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炎黄情</t>
  </si>
  <si>
    <r>
      <t>延安市思</t>
    </r>
    <r>
      <rPr>
        <sz val="11"/>
        <color theme="1"/>
        <rFont val="ＭＳ Ｐゴシック"/>
        <family val="3"/>
        <charset val="134"/>
        <scheme val="minor"/>
      </rPr>
      <t>诺</t>
    </r>
    <r>
      <rPr>
        <sz val="11"/>
        <color theme="1"/>
        <rFont val="ＭＳ Ｐゴシック"/>
        <family val="3"/>
        <charset val="128"/>
        <scheme val="minor"/>
      </rPr>
      <t>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</si>
  <si>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餐后酒（利口酒和烈酒）; 果酒;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蜂蜜酒; 开胃酒; 甜酒; 苹果酒;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</t>
    </r>
  </si>
  <si>
    <t>渴代表</t>
  </si>
  <si>
    <r>
      <t>海南水韵投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</si>
  <si>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米酒; 青稞酒;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</t>
    </r>
  </si>
  <si>
    <t>OTHELLO</t>
  </si>
  <si>
    <r>
      <t>多明</t>
    </r>
    <r>
      <rPr>
        <sz val="11"/>
        <color theme="1"/>
        <rFont val="ＭＳ Ｐゴシック"/>
        <family val="3"/>
        <charset val="134"/>
        <scheme val="minor"/>
      </rPr>
      <t>纳</t>
    </r>
    <r>
      <rPr>
        <sz val="11"/>
        <color theme="1"/>
        <rFont val="ＭＳ Ｐゴシック"/>
        <family val="3"/>
        <charset val="128"/>
        <scheme val="minor"/>
      </rPr>
      <t>斯房地</t>
    </r>
    <r>
      <rPr>
        <sz val="11"/>
        <color theme="1"/>
        <rFont val="ＭＳ Ｐゴシック"/>
        <family val="3"/>
        <charset val="134"/>
        <scheme val="minor"/>
      </rPr>
      <t>产</t>
    </r>
    <r>
      <rPr>
        <sz val="11"/>
        <color theme="1"/>
        <rFont val="ＭＳ Ｐゴシック"/>
        <family val="3"/>
        <charset val="128"/>
        <scheme val="minor"/>
      </rPr>
      <t>公司</t>
    </r>
  </si>
  <si>
    <r>
      <t>归</t>
    </r>
    <r>
      <rPr>
        <sz val="11"/>
        <color theme="1"/>
        <rFont val="ＭＳ Ｐゴシック"/>
        <family val="3"/>
        <charset val="128"/>
        <scheme val="minor"/>
      </rPr>
      <t>德大有丰</t>
    </r>
  </si>
  <si>
    <r>
      <t>商丘市睢阳区信鑫融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担保有限公司</t>
    </r>
  </si>
  <si>
    <r>
      <t xml:space="preserve">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食用酒精; 汽酒; 果酒（含酒精）; 白酒; 伏特加酒;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</si>
  <si>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谢谢</t>
    </r>
    <r>
      <rPr>
        <sz val="11"/>
        <color theme="1"/>
        <rFont val="ＭＳ Ｐゴシック"/>
        <family val="3"/>
        <charset val="128"/>
        <scheme val="minor"/>
      </rPr>
      <t>女王</t>
    </r>
  </si>
  <si>
    <r>
      <t>吉文府（广州）投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</si>
  <si>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清酒（日本米酒）; 黄酒; 食用酒精; 米酒;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</si>
  <si>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宅宴</t>
  </si>
  <si>
    <r>
      <t>李</t>
    </r>
    <r>
      <rPr>
        <sz val="11"/>
        <color theme="1"/>
        <rFont val="ＭＳ Ｐゴシック"/>
        <family val="3"/>
        <charset val="129"/>
        <scheme val="minor"/>
      </rPr>
      <t>洁</t>
    </r>
  </si>
  <si>
    <r>
      <t>黄酒; 果酒（含酒精）; 白干酒（中国白酒）; 白酒;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高粱酒; 烈酒</t>
    </r>
  </si>
  <si>
    <t>梧名</t>
  </si>
  <si>
    <r>
      <t>平潭醉美酒</t>
    </r>
    <r>
      <rPr>
        <sz val="11"/>
        <color theme="1"/>
        <rFont val="ＭＳ Ｐゴシック"/>
        <family val="3"/>
        <charset val="134"/>
        <scheme val="minor"/>
      </rPr>
      <t>业发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</si>
  <si>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米酒;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</si>
  <si>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海</t>
    </r>
    <r>
      <rPr>
        <sz val="11"/>
        <color theme="1"/>
        <rFont val="ＭＳ Ｐゴシック"/>
        <family val="3"/>
        <charset val="134"/>
        <scheme val="minor"/>
      </rPr>
      <t>蚀遗</t>
    </r>
    <r>
      <rPr>
        <sz val="11"/>
        <color theme="1"/>
        <rFont val="ＭＳ Ｐゴシック"/>
        <family val="3"/>
        <charset val="128"/>
        <scheme val="minor"/>
      </rPr>
      <t>址</t>
    </r>
  </si>
  <si>
    <t>刘俊良</t>
  </si>
  <si>
    <r>
      <t xml:space="preserve">开胃酒; 威士忌; 伏特加酒; 果酒（含酒精）; 葡萄酒;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薄荷酒; 米酒</t>
    </r>
  </si>
  <si>
    <t>李渡</t>
  </si>
  <si>
    <r>
      <t>江西李渡酒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</si>
  <si>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利口酒;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米酒</t>
    </r>
  </si>
  <si>
    <r>
      <t>欧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博海</t>
    </r>
    <r>
      <rPr>
        <sz val="11"/>
        <color theme="1"/>
        <rFont val="ＭＳ Ｐゴシック"/>
        <family val="3"/>
        <charset val="134"/>
        <scheme val="minor"/>
      </rPr>
      <t>马</t>
    </r>
    <r>
      <rPr>
        <sz val="11"/>
        <color theme="1"/>
        <rFont val="ＭＳ Ｐゴシック"/>
        <family val="3"/>
        <charset val="128"/>
        <scheme val="minor"/>
      </rPr>
      <t>神</t>
    </r>
  </si>
  <si>
    <r>
      <t>谢</t>
    </r>
    <r>
      <rPr>
        <sz val="11"/>
        <color theme="1"/>
        <rFont val="ＭＳ Ｐゴシック"/>
        <family val="3"/>
        <charset val="128"/>
        <scheme val="minor"/>
      </rPr>
      <t>霞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</si>
  <si>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混合威士忌酒;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起泡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含酒精的水果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露酒; 白酒</t>
    </r>
  </si>
  <si>
    <t>大吃御品</t>
  </si>
  <si>
    <r>
      <t>江</t>
    </r>
    <r>
      <rPr>
        <sz val="11"/>
        <color theme="1"/>
        <rFont val="ＭＳ Ｐゴシック"/>
        <family val="3"/>
        <charset val="134"/>
        <scheme val="minor"/>
      </rPr>
      <t>门</t>
    </r>
    <r>
      <rPr>
        <sz val="11"/>
        <color theme="1"/>
        <rFont val="ＭＳ Ｐゴシック"/>
        <family val="3"/>
        <charset val="128"/>
        <scheme val="minor"/>
      </rPr>
      <t>市御澳食品有限公司</t>
    </r>
  </si>
  <si>
    <t>开胃酒</t>
  </si>
  <si>
    <t>沱牌花花</t>
  </si>
  <si>
    <r>
      <t>舍得酒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股份有限公司</t>
    </r>
  </si>
  <si>
    <r>
      <t>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果酒（含酒精）;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利口酒; 食用酒精; 蒸煮提取物（利口酒和烈酒）;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</t>
    </r>
  </si>
  <si>
    <r>
      <t>和</t>
    </r>
    <r>
      <rPr>
        <sz val="11"/>
        <color theme="1"/>
        <rFont val="ＭＳ Ｐゴシック"/>
        <family val="3"/>
        <charset val="134"/>
        <scheme val="minor"/>
      </rPr>
      <t>态</t>
    </r>
    <r>
      <rPr>
        <sz val="11"/>
        <color theme="1"/>
        <rFont val="ＭＳ Ｐゴシック"/>
        <family val="3"/>
        <charset val="128"/>
        <scheme val="minor"/>
      </rPr>
      <t>盟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</si>
  <si>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州鑫云上九</t>
    </r>
    <r>
      <rPr>
        <sz val="11"/>
        <color theme="1"/>
        <rFont val="ＭＳ Ｐゴシック"/>
        <family val="3"/>
        <charset val="134"/>
        <scheme val="minor"/>
      </rPr>
      <t>坝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</si>
  <si>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白酒; 梨酒;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梅酒; 果酒; 米酒; 高粱酒;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烈酒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白干酒（中国白酒）</t>
    </r>
  </si>
  <si>
    <r>
      <t>玉粉</t>
    </r>
    <r>
      <rPr>
        <sz val="11"/>
        <color theme="1"/>
        <rFont val="ＭＳ Ｐゴシック"/>
        <family val="3"/>
        <charset val="134"/>
        <scheme val="minor"/>
      </rPr>
      <t>轻</t>
    </r>
    <r>
      <rPr>
        <sz val="11"/>
        <color theme="1"/>
        <rFont val="ＭＳ Ｐゴシック"/>
        <family val="3"/>
        <charset val="128"/>
        <scheme val="minor"/>
      </rPr>
      <t>黄</t>
    </r>
  </si>
  <si>
    <t>罗晓辉</t>
  </si>
  <si>
    <r>
      <t>黄酒; 汽酒; 白酒; 高粱酒;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开胃酒; 米酒; 果酒; 葡萄酒; 烈酒</t>
    </r>
  </si>
  <si>
    <t>姜山涌氿</t>
  </si>
  <si>
    <r>
      <t>姜思</t>
    </r>
    <r>
      <rPr>
        <sz val="11"/>
        <color theme="1"/>
        <rFont val="ＭＳ Ｐゴシック"/>
        <family val="3"/>
        <charset val="134"/>
        <scheme val="minor"/>
      </rPr>
      <t>发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</si>
  <si>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甜酒; 果酒;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白干酒（中国白酒）;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烈酒; 露酒</t>
    </r>
  </si>
  <si>
    <t>SPIRITEDNESS</t>
  </si>
  <si>
    <r>
      <t>潍</t>
    </r>
    <r>
      <rPr>
        <sz val="11"/>
        <color theme="1"/>
        <rFont val="ＭＳ Ｐゴシック"/>
        <family val="3"/>
        <charset val="128"/>
        <scheme val="minor"/>
      </rPr>
      <t>坊河</t>
    </r>
    <r>
      <rPr>
        <sz val="11"/>
        <color theme="1"/>
        <rFont val="ＭＳ Ｐゴシック"/>
        <family val="3"/>
        <charset val="134"/>
        <scheme val="minor"/>
      </rPr>
      <t>马电</t>
    </r>
    <r>
      <rPr>
        <sz val="11"/>
        <color theme="1"/>
        <rFont val="ＭＳ Ｐゴシック"/>
        <family val="3"/>
        <charset val="128"/>
        <scheme val="minor"/>
      </rPr>
      <t>子商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</si>
  <si>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葡萄酒; 伏特加酒; 清酒（日本米酒）; 朗姆酒; 利口酒; 威士忌; 杜松子酒</t>
    </r>
  </si>
  <si>
    <r>
      <t>泽尔</t>
    </r>
    <r>
      <rPr>
        <sz val="11"/>
        <color theme="1"/>
        <rFont val="ＭＳ Ｐゴシック"/>
        <family val="3"/>
        <charset val="128"/>
        <scheme val="minor"/>
      </rPr>
      <t>达康</t>
    </r>
  </si>
  <si>
    <r>
      <t>佛山市派富生物技</t>
    </r>
    <r>
      <rPr>
        <sz val="11"/>
        <color theme="1"/>
        <rFont val="ＭＳ Ｐゴシック"/>
        <family val="3"/>
        <charset val="134"/>
        <scheme val="minor"/>
      </rPr>
      <t>术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</si>
  <si>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 xml:space="preserve">白葡萄酒; 不起泡葡萄酒;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含酒精的水果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葡萄汽酒; 甜酒; 起泡白葡萄酒;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</si>
  <si>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荷公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坊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</si>
  <si>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州多智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</si>
  <si>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高粱酒;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黄酒; 烈酒;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白酒; 果酒</t>
    </r>
  </si>
  <si>
    <r>
      <t>名</t>
    </r>
    <r>
      <rPr>
        <sz val="11"/>
        <color theme="1"/>
        <rFont val="ＭＳ Ｐゴシック"/>
        <family val="3"/>
        <charset val="134"/>
        <scheme val="minor"/>
      </rPr>
      <t>镇</t>
    </r>
    <r>
      <rPr>
        <sz val="11"/>
        <color theme="1"/>
        <rFont val="ＭＳ Ｐゴシック"/>
        <family val="3"/>
        <charset val="128"/>
        <scheme val="minor"/>
      </rPr>
      <t>村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</si>
  <si>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市茅合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酒（集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）有限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</si>
  <si>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开胃酒; 餐后酒（利口酒和烈酒）;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清酒（日本米酒）; 薄荷酒; 白酒;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威士忌</t>
    </r>
  </si>
  <si>
    <r>
      <t>寿</t>
    </r>
    <r>
      <rPr>
        <sz val="11"/>
        <color theme="1"/>
        <rFont val="ＭＳ Ｐゴシック"/>
        <family val="3"/>
        <charset val="134"/>
        <scheme val="minor"/>
      </rPr>
      <t>乡</t>
    </r>
    <r>
      <rPr>
        <sz val="11"/>
        <color theme="1"/>
        <rFont val="ＭＳ Ｐゴシック"/>
        <family val="3"/>
        <charset val="128"/>
        <scheme val="minor"/>
      </rPr>
      <t>醇</t>
    </r>
  </si>
  <si>
    <r>
      <t>梅州寿</t>
    </r>
    <r>
      <rPr>
        <sz val="11"/>
        <color theme="1"/>
        <rFont val="ＭＳ Ｐゴシック"/>
        <family val="3"/>
        <charset val="134"/>
        <scheme val="minor"/>
      </rPr>
      <t>乡纯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</si>
  <si>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</si>
  <si>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贺</t>
    </r>
    <r>
      <rPr>
        <sz val="11"/>
        <color theme="1"/>
        <rFont val="ＭＳ Ｐゴシック"/>
        <family val="3"/>
        <charset val="128"/>
        <scheme val="minor"/>
      </rPr>
      <t>粮</t>
    </r>
    <r>
      <rPr>
        <sz val="11"/>
        <color theme="1"/>
        <rFont val="ＭＳ Ｐゴシック"/>
        <family val="3"/>
        <charset val="134"/>
        <scheme val="minor"/>
      </rPr>
      <t>荭</t>
    </r>
  </si>
  <si>
    <r>
      <t>商丘福星教育咨</t>
    </r>
    <r>
      <rPr>
        <sz val="11"/>
        <color theme="1"/>
        <rFont val="ＭＳ Ｐゴシック"/>
        <family val="3"/>
        <charset val="134"/>
        <scheme val="minor"/>
      </rPr>
      <t>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</si>
  <si>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清酒（日本米酒）;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黄酒; 米酒; 白酒</t>
    </r>
  </si>
  <si>
    <r>
      <t>济</t>
    </r>
    <r>
      <rPr>
        <sz val="11"/>
        <color theme="1"/>
        <rFont val="ＭＳ Ｐゴシック"/>
        <family val="3"/>
        <charset val="128"/>
        <scheme val="minor"/>
      </rPr>
      <t>宁牛</t>
    </r>
    <r>
      <rPr>
        <sz val="11"/>
        <color theme="1"/>
        <rFont val="ＭＳ Ｐゴシック"/>
        <family val="3"/>
        <charset val="134"/>
        <scheme val="minor"/>
      </rPr>
      <t>莲长</t>
    </r>
    <r>
      <rPr>
        <sz val="11"/>
        <color theme="1"/>
        <rFont val="ＭＳ Ｐゴシック"/>
        <family val="3"/>
        <charset val="128"/>
        <scheme val="minor"/>
      </rPr>
      <t>投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</si>
  <si>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汽酒; 白酒;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利口酒</t>
    </r>
  </si>
  <si>
    <r>
      <t>宁都</t>
    </r>
    <r>
      <rPr>
        <sz val="11"/>
        <color theme="1"/>
        <rFont val="ＭＳ Ｐゴシック"/>
        <family val="3"/>
        <charset val="134"/>
        <scheme val="minor"/>
      </rPr>
      <t>县农</t>
    </r>
    <r>
      <rPr>
        <sz val="11"/>
        <color theme="1"/>
        <rFont val="ＭＳ Ｐゴシック"/>
        <family val="3"/>
        <charset val="128"/>
        <scheme val="minor"/>
      </rPr>
      <t>投大</t>
    </r>
    <r>
      <rPr>
        <sz val="11"/>
        <color theme="1"/>
        <rFont val="ＭＳ Ｐゴシック"/>
        <family val="3"/>
        <charset val="134"/>
        <scheme val="minor"/>
      </rPr>
      <t>鹏农产</t>
    </r>
    <r>
      <rPr>
        <sz val="11"/>
        <color theme="1"/>
        <rFont val="ＭＳ Ｐゴシック"/>
        <family val="3"/>
        <charset val="128"/>
        <scheme val="minor"/>
      </rPr>
      <t>品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</si>
  <si>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薄荷酒;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威士忌;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开胃酒; 黄酒</t>
    </r>
  </si>
  <si>
    <t>路村福</t>
  </si>
  <si>
    <r>
      <t>杨</t>
    </r>
    <r>
      <rPr>
        <sz val="11"/>
        <color theme="1"/>
        <rFont val="ＭＳ Ｐゴシック"/>
        <family val="3"/>
        <charset val="128"/>
        <scheme val="minor"/>
      </rPr>
      <t>萍</t>
    </r>
  </si>
  <si>
    <r>
      <t>白酒;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</si>
  <si>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开胃酒;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威士忌; 黄酒; 葡萄酒; 果酒（含酒精）; 薄荷酒;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</t>
    </r>
  </si>
  <si>
    <r>
      <t>薄荷酒; 葡萄酒; 开胃酒; 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果酒（含酒精）; 威士忌;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</si>
  <si>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查</t>
    </r>
    <r>
      <rPr>
        <sz val="11"/>
        <color theme="1"/>
        <rFont val="ＭＳ Ｐゴシック"/>
        <family val="3"/>
        <charset val="134"/>
        <scheme val="minor"/>
      </rPr>
      <t>显跃</t>
    </r>
  </si>
  <si>
    <r>
      <t>苹果酒;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露酒;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餐后酒（利口酒和烈酒）</t>
    </r>
  </si>
  <si>
    <r>
      <t>山</t>
    </r>
    <r>
      <rPr>
        <sz val="11"/>
        <color theme="1"/>
        <rFont val="ＭＳ Ｐゴシック"/>
        <family val="3"/>
        <charset val="134"/>
        <scheme val="minor"/>
      </rPr>
      <t>东银</t>
    </r>
    <r>
      <rPr>
        <sz val="11"/>
        <color theme="1"/>
        <rFont val="ＭＳ Ｐゴシック"/>
        <family val="3"/>
        <charset val="128"/>
        <scheme val="minor"/>
      </rPr>
      <t>洲酒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</si>
  <si>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清酒（日本米酒）; 果酒（含酒精）;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食用酒精; 白酒;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</si>
  <si>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淮</t>
    </r>
    <r>
      <rPr>
        <sz val="11"/>
        <color theme="1"/>
        <rFont val="ＭＳ Ｐゴシック"/>
        <family val="3"/>
        <charset val="134"/>
        <scheme val="minor"/>
      </rPr>
      <t>乡</t>
    </r>
    <r>
      <rPr>
        <sz val="11"/>
        <color theme="1"/>
        <rFont val="ＭＳ Ｐゴシック"/>
        <family val="3"/>
        <charset val="128"/>
        <scheme val="minor"/>
      </rPr>
      <t>庄</t>
    </r>
    <r>
      <rPr>
        <sz val="11"/>
        <color theme="1"/>
        <rFont val="ＭＳ Ｐゴシック"/>
        <family val="3"/>
        <charset val="134"/>
        <scheme val="minor"/>
      </rPr>
      <t>红</t>
    </r>
  </si>
  <si>
    <r>
      <t>安徽稻状元</t>
    </r>
    <r>
      <rPr>
        <sz val="11"/>
        <color theme="1"/>
        <rFont val="ＭＳ Ｐゴシック"/>
        <family val="3"/>
        <charset val="134"/>
        <scheme val="minor"/>
      </rPr>
      <t>农</t>
    </r>
    <r>
      <rPr>
        <sz val="11"/>
        <color theme="1"/>
        <rFont val="ＭＳ Ｐゴシック"/>
        <family val="3"/>
        <charset val="128"/>
        <scheme val="minor"/>
      </rPr>
      <t>副</t>
    </r>
    <r>
      <rPr>
        <sz val="11"/>
        <color theme="1"/>
        <rFont val="ＭＳ Ｐゴシック"/>
        <family val="3"/>
        <charset val="134"/>
        <scheme val="minor"/>
      </rPr>
      <t>产</t>
    </r>
    <r>
      <rPr>
        <sz val="11"/>
        <color theme="1"/>
        <rFont val="ＭＳ Ｐゴシック"/>
        <family val="3"/>
        <charset val="128"/>
        <scheme val="minor"/>
      </rPr>
      <t>品</t>
    </r>
    <r>
      <rPr>
        <sz val="11"/>
        <color theme="1"/>
        <rFont val="ＭＳ Ｐゴシック"/>
        <family val="3"/>
        <charset val="134"/>
        <scheme val="minor"/>
      </rPr>
      <t>进</t>
    </r>
    <r>
      <rPr>
        <sz val="11"/>
        <color theme="1"/>
        <rFont val="ＭＳ Ｐゴシック"/>
        <family val="3"/>
        <charset val="128"/>
        <scheme val="minor"/>
      </rPr>
      <t>出口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</si>
  <si>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葡萄酒;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黄酒; 高粱酒;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</t>
    </r>
  </si>
  <si>
    <r>
      <t>奈格</t>
    </r>
    <r>
      <rPr>
        <sz val="11"/>
        <color theme="1"/>
        <rFont val="ＭＳ Ｐゴシック"/>
        <family val="3"/>
        <charset val="134"/>
        <scheme val="minor"/>
      </rPr>
      <t>尔</t>
    </r>
    <r>
      <rPr>
        <sz val="11"/>
        <color theme="1"/>
        <rFont val="ＭＳ Ｐゴシック"/>
        <family val="3"/>
        <charset val="128"/>
        <scheme val="minor"/>
      </rPr>
      <t xml:space="preserve"> NIGHTTGALE</t>
    </r>
  </si>
  <si>
    <r>
      <t>深圳市易事达医</t>
    </r>
    <r>
      <rPr>
        <sz val="11"/>
        <color theme="1"/>
        <rFont val="ＭＳ Ｐゴシック"/>
        <family val="3"/>
        <charset val="134"/>
        <scheme val="minor"/>
      </rPr>
      <t>疗电</t>
    </r>
    <r>
      <rPr>
        <sz val="11"/>
        <color theme="1"/>
        <rFont val="ＭＳ Ｐゴシック"/>
        <family val="3"/>
        <charset val="128"/>
        <scheme val="minor"/>
      </rPr>
      <t>子有限公司</t>
    </r>
  </si>
  <si>
    <r>
      <t>蝮蛇酒;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黄酒; 威士忌;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葡萄酒; 清酒; 甜果酒</t>
    </r>
  </si>
  <si>
    <t>X XANGHE</t>
  </si>
  <si>
    <r>
      <t>深圳市祥和音响</t>
    </r>
    <r>
      <rPr>
        <sz val="11"/>
        <color theme="1"/>
        <rFont val="ＭＳ Ｐゴシック"/>
        <family val="3"/>
        <charset val="134"/>
        <scheme val="minor"/>
      </rPr>
      <t>电</t>
    </r>
    <r>
      <rPr>
        <sz val="11"/>
        <color theme="1"/>
        <rFont val="ＭＳ Ｐゴシック"/>
        <family val="3"/>
        <charset val="128"/>
        <scheme val="minor"/>
      </rPr>
      <t>器有限公司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</si>
  <si>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伏特加酒; 威士忌;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</si>
  <si>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玖仙尊 SUPREME·GRASS</t>
  </si>
  <si>
    <r>
      <t>罗</t>
    </r>
    <r>
      <rPr>
        <sz val="11"/>
        <color theme="1"/>
        <rFont val="ＭＳ Ｐゴシック"/>
        <family val="3"/>
        <charset val="128"/>
        <scheme val="minor"/>
      </rPr>
      <t>金云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</si>
  <si>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蜂蜜酒;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葡萄酒; 黄酒; 开胃酒;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清酒（日本米酒）;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</si>
  <si>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XXX-MATE</t>
  </si>
  <si>
    <t>麦克斯有限公司</t>
  </si>
  <si>
    <r>
      <t xml:space="preserve">葡萄酒; 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伏特加酒;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利口酒</t>
    </r>
  </si>
  <si>
    <t>老泰丰老作坊</t>
  </si>
  <si>
    <r>
      <t>陈晓</t>
    </r>
    <r>
      <rPr>
        <sz val="11"/>
        <color theme="1"/>
        <rFont val="ＭＳ Ｐゴシック"/>
        <family val="3"/>
        <charset val="128"/>
        <scheme val="minor"/>
      </rPr>
      <t>峰</t>
    </r>
  </si>
  <si>
    <r>
      <t>白酒;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清酒（日本米酒）;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</si>
  <si>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白石</t>
    </r>
    <r>
      <rPr>
        <sz val="11"/>
        <color theme="1"/>
        <rFont val="ＭＳ Ｐゴシック"/>
        <family val="3"/>
        <charset val="134"/>
        <scheme val="minor"/>
      </rPr>
      <t>连</t>
    </r>
    <r>
      <rPr>
        <sz val="11"/>
        <color theme="1"/>
        <rFont val="ＭＳ Ｐゴシック"/>
        <family val="3"/>
        <charset val="128"/>
        <scheme val="minor"/>
      </rPr>
      <t>心</t>
    </r>
  </si>
  <si>
    <r>
      <t>石台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大演</t>
    </r>
    <r>
      <rPr>
        <sz val="11"/>
        <color theme="1"/>
        <rFont val="ＭＳ Ｐゴシック"/>
        <family val="3"/>
        <charset val="134"/>
        <scheme val="minor"/>
      </rPr>
      <t>乡</t>
    </r>
    <r>
      <rPr>
        <sz val="11"/>
        <color theme="1"/>
        <rFont val="ＭＳ Ｐゴシック"/>
        <family val="3"/>
        <charset val="128"/>
        <scheme val="minor"/>
      </rPr>
      <t>新</t>
    </r>
    <r>
      <rPr>
        <sz val="11"/>
        <color theme="1"/>
        <rFont val="ＭＳ Ｐゴシック"/>
        <family val="3"/>
        <charset val="134"/>
        <scheme val="minor"/>
      </rPr>
      <t>联</t>
    </r>
    <r>
      <rPr>
        <sz val="11"/>
        <color theme="1"/>
        <rFont val="ＭＳ Ｐゴシック"/>
        <family val="3"/>
        <charset val="128"/>
        <scheme val="minor"/>
      </rPr>
      <t>村股份</t>
    </r>
    <r>
      <rPr>
        <sz val="11"/>
        <color theme="1"/>
        <rFont val="ＭＳ Ｐゴシック"/>
        <family val="3"/>
        <charset val="134"/>
        <scheme val="minor"/>
      </rPr>
      <t>经济</t>
    </r>
    <r>
      <rPr>
        <sz val="11"/>
        <color theme="1"/>
        <rFont val="ＭＳ Ｐゴシック"/>
        <family val="3"/>
        <charset val="128"/>
        <scheme val="minor"/>
      </rPr>
      <t>合作</t>
    </r>
    <r>
      <rPr>
        <sz val="11"/>
        <color theme="1"/>
        <rFont val="ＭＳ Ｐゴシック"/>
        <family val="3"/>
        <charset val="134"/>
        <scheme val="minor"/>
      </rPr>
      <t>联</t>
    </r>
    <r>
      <rPr>
        <sz val="11"/>
        <color theme="1"/>
        <rFont val="ＭＳ Ｐゴシック"/>
        <family val="3"/>
        <charset val="128"/>
        <scheme val="minor"/>
      </rPr>
      <t>合社</t>
    </r>
  </si>
  <si>
    <r>
      <t>白酒;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开胃酒; 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</t>
    </r>
  </si>
  <si>
    <r>
      <t>万</t>
    </r>
    <r>
      <rPr>
        <sz val="11"/>
        <color theme="1"/>
        <rFont val="ＭＳ Ｐゴシック"/>
        <family val="3"/>
        <charset val="134"/>
        <scheme val="minor"/>
      </rPr>
      <t>岁钢</t>
    </r>
    <r>
      <rPr>
        <sz val="11"/>
        <color theme="1"/>
        <rFont val="ＭＳ Ｐゴシック"/>
        <family val="3"/>
        <charset val="128"/>
        <scheme val="minor"/>
      </rPr>
      <t>魂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</si>
  <si>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州天下</t>
    </r>
    <r>
      <rPr>
        <sz val="11"/>
        <color theme="1"/>
        <rFont val="ＭＳ Ｐゴシック"/>
        <family val="3"/>
        <charset val="134"/>
        <scheme val="minor"/>
      </rPr>
      <t>战</t>
    </r>
    <r>
      <rPr>
        <sz val="11"/>
        <color theme="1"/>
        <rFont val="ＭＳ Ｐゴシック"/>
        <family val="3"/>
        <charset val="128"/>
        <scheme val="minor"/>
      </rPr>
      <t>国酒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</si>
  <si>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白干酒（中国白酒）;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</t>
    </r>
  </si>
  <si>
    <r>
      <t>喜事</t>
    </r>
    <r>
      <rPr>
        <sz val="11"/>
        <color theme="1"/>
        <rFont val="ＭＳ Ｐゴシック"/>
        <family val="3"/>
        <charset val="134"/>
        <scheme val="minor"/>
      </rPr>
      <t>顺</t>
    </r>
  </si>
  <si>
    <t>王甜甜</t>
  </si>
  <si>
    <r>
      <t>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白干酒（中国白酒）; 米酒; 果酒（含酒精）; 葡萄酒; 食用酒精; 白酒; 黄酒</t>
    </r>
  </si>
  <si>
    <t>盆中宝</t>
  </si>
  <si>
    <r>
      <t>陆</t>
    </r>
    <r>
      <rPr>
        <sz val="11"/>
        <color theme="1"/>
        <rFont val="ＭＳ Ｐゴシック"/>
        <family val="3"/>
        <charset val="128"/>
        <scheme val="minor"/>
      </rPr>
      <t>宝</t>
    </r>
    <r>
      <rPr>
        <sz val="11"/>
        <color theme="1"/>
        <rFont val="ＭＳ Ｐゴシック"/>
        <family val="3"/>
        <charset val="134"/>
        <scheme val="minor"/>
      </rPr>
      <t>军</t>
    </r>
  </si>
  <si>
    <r>
      <t>白酒; 烈酒;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食用酒精; 果酒;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露酒</t>
    </r>
  </si>
  <si>
    <t>酒海玖源</t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</si>
  <si>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白酒;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含酒精的充气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</si>
  <si>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赣</t>
    </r>
    <r>
      <rPr>
        <sz val="11"/>
        <color theme="1"/>
        <rFont val="ＭＳ Ｐゴシック"/>
        <family val="3"/>
        <charset val="128"/>
        <scheme val="minor"/>
      </rPr>
      <t>品西施</t>
    </r>
  </si>
  <si>
    <r>
      <t>江西硒得</t>
    </r>
    <r>
      <rPr>
        <sz val="11"/>
        <color theme="1"/>
        <rFont val="ＭＳ Ｐゴシック"/>
        <family val="3"/>
        <charset val="134"/>
        <scheme val="minor"/>
      </rPr>
      <t>乐</t>
    </r>
    <r>
      <rPr>
        <sz val="11"/>
        <color theme="1"/>
        <rFont val="ＭＳ Ｐゴシック"/>
        <family val="3"/>
        <charset val="128"/>
        <scheme val="minor"/>
      </rPr>
      <t>生物科技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</si>
  <si>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t>葡萄酒; 黄酒; 果酒（含酒精）; 白酒; 米酒; 甜酒</t>
  </si>
  <si>
    <t>H-MATE</t>
  </si>
  <si>
    <r>
      <t xml:space="preserve">利口酒; 伏特加酒;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</si>
  <si>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金广付山</t>
  </si>
  <si>
    <r>
      <t>成都市泰宏峰商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</si>
  <si>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烈酒; 米酒; 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高粱酒; 果酒;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>酒; 青梅酒</t>
    </r>
  </si>
  <si>
    <t>呆盛</t>
  </si>
  <si>
    <r>
      <t>曾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牧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</si>
  <si>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威士忌;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汽酒; 白酒; 果酒;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清酒</t>
    </r>
  </si>
  <si>
    <r>
      <t>ZHAOBINGWANGZI 召</t>
    </r>
    <r>
      <rPr>
        <sz val="11"/>
        <color theme="1"/>
        <rFont val="ＭＳ Ｐゴシック"/>
        <family val="3"/>
        <charset val="134"/>
        <scheme val="minor"/>
      </rPr>
      <t>宾</t>
    </r>
    <r>
      <rPr>
        <sz val="11"/>
        <color theme="1"/>
        <rFont val="ＭＳ Ｐゴシック"/>
        <family val="3"/>
        <charset val="128"/>
        <scheme val="minor"/>
      </rPr>
      <t>王子</t>
    </r>
  </si>
  <si>
    <r>
      <t>上海</t>
    </r>
    <r>
      <rPr>
        <sz val="11"/>
        <color theme="1"/>
        <rFont val="ＭＳ Ｐゴシック"/>
        <family val="3"/>
        <charset val="134"/>
        <scheme val="minor"/>
      </rPr>
      <t>贵</t>
    </r>
    <r>
      <rPr>
        <sz val="11"/>
        <color theme="1"/>
        <rFont val="ＭＳ Ｐゴシック"/>
        <family val="3"/>
        <charset val="128"/>
        <scheme val="minor"/>
      </rPr>
      <t>浦酒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</si>
  <si>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米酒; 黄酒; 果酒（含酒精）; 开胃酒; 威士忌; 利口酒;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</t>
    </r>
  </si>
  <si>
    <r>
      <t>召</t>
    </r>
    <r>
      <rPr>
        <sz val="11"/>
        <color theme="1"/>
        <rFont val="ＭＳ Ｐゴシック"/>
        <family val="3"/>
        <charset val="134"/>
        <scheme val="minor"/>
      </rPr>
      <t>宾</t>
    </r>
    <r>
      <rPr>
        <sz val="11"/>
        <color theme="1"/>
        <rFont val="ＭＳ Ｐゴシック"/>
        <family val="3"/>
        <charset val="128"/>
        <scheme val="minor"/>
      </rPr>
      <t>王子</t>
    </r>
  </si>
  <si>
    <r>
      <t xml:space="preserve">果酒（含酒精）; 开胃酒; 威士忌; 黄酒; 白酒;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 xml:space="preserve">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利口酒</t>
    </r>
  </si>
  <si>
    <t>LPBD</t>
  </si>
  <si>
    <r>
      <t>杭州</t>
    </r>
    <r>
      <rPr>
        <sz val="11"/>
        <color theme="1"/>
        <rFont val="ＭＳ Ｐゴシック"/>
        <family val="3"/>
        <charset val="134"/>
        <scheme val="minor"/>
      </rPr>
      <t>临</t>
    </r>
    <r>
      <rPr>
        <sz val="11"/>
        <color theme="1"/>
        <rFont val="ＭＳ Ｐゴシック"/>
        <family val="3"/>
        <charset val="128"/>
        <scheme val="minor"/>
      </rPr>
      <t>平大数据</t>
    </r>
    <r>
      <rPr>
        <sz val="11"/>
        <color theme="1"/>
        <rFont val="ＭＳ Ｐゴシック"/>
        <family val="3"/>
        <charset val="134"/>
        <scheme val="minor"/>
      </rPr>
      <t>经营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</si>
  <si>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食用酒精;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青稞酒; 黄酒; 汽酒; 葡萄酒</t>
    </r>
  </si>
  <si>
    <r>
      <t>运河清</t>
    </r>
    <r>
      <rPr>
        <sz val="11"/>
        <color theme="1"/>
        <rFont val="ＭＳ Ｐゴシック"/>
        <family val="3"/>
        <charset val="134"/>
        <scheme val="minor"/>
      </rPr>
      <t>风</t>
    </r>
  </si>
  <si>
    <r>
      <t>扬</t>
    </r>
    <r>
      <rPr>
        <sz val="11"/>
        <color theme="1"/>
        <rFont val="ＭＳ Ｐゴシック"/>
        <family val="3"/>
        <charset val="128"/>
        <scheme val="minor"/>
      </rPr>
      <t>州全域旅游有限公司</t>
    </r>
  </si>
  <si>
    <r>
      <t xml:space="preserve">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利口酒; 白酒; 威士忌; 黄酒; 葡萄酒; 米酒; 蜂蜜酒</t>
    </r>
  </si>
  <si>
    <r>
      <t>苏</t>
    </r>
    <r>
      <rPr>
        <sz val="11"/>
        <color theme="1"/>
        <rFont val="ＭＳ Ｐゴシック"/>
        <family val="3"/>
        <charset val="128"/>
        <scheme val="minor"/>
      </rPr>
      <t>家沟</t>
    </r>
  </si>
  <si>
    <r>
      <t>江</t>
    </r>
    <r>
      <rPr>
        <sz val="11"/>
        <color theme="1"/>
        <rFont val="ＭＳ Ｐゴシック"/>
        <family val="3"/>
        <charset val="134"/>
        <scheme val="minor"/>
      </rPr>
      <t>苏</t>
    </r>
    <r>
      <rPr>
        <sz val="11"/>
        <color theme="1"/>
        <rFont val="ＭＳ Ｐゴシック"/>
        <family val="3"/>
        <charset val="128"/>
        <scheme val="minor"/>
      </rPr>
      <t>泗阳永</t>
    </r>
    <r>
      <rPr>
        <sz val="11"/>
        <color theme="1"/>
        <rFont val="ＭＳ Ｐゴシック"/>
        <family val="3"/>
        <charset val="129"/>
        <scheme val="minor"/>
      </rPr>
      <t>强</t>
    </r>
    <r>
      <rPr>
        <sz val="11"/>
        <color theme="1"/>
        <rFont val="ＭＳ Ｐゴシック"/>
        <family val="3"/>
        <charset val="128"/>
        <scheme val="minor"/>
      </rPr>
      <t>生</t>
    </r>
    <r>
      <rPr>
        <sz val="11"/>
        <color theme="1"/>
        <rFont val="ＭＳ Ｐゴシック"/>
        <family val="3"/>
        <charset val="134"/>
        <scheme val="minor"/>
      </rPr>
      <t>态农业发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</si>
  <si>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 xml:space="preserve">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酒（烈酒）; 米酒; 高粱酒; 清酒;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白酒; 果酒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</si>
  <si>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忠</t>
    </r>
    <r>
      <rPr>
        <sz val="11"/>
        <color theme="1"/>
        <rFont val="ＭＳ Ｐゴシック"/>
        <family val="3"/>
        <charset val="134"/>
        <scheme val="minor"/>
      </rPr>
      <t>华</t>
    </r>
  </si>
  <si>
    <r>
      <t>中山市瑞福迩</t>
    </r>
    <r>
      <rPr>
        <sz val="11"/>
        <color theme="1"/>
        <rFont val="ＭＳ Ｐゴシック"/>
        <family val="3"/>
        <charset val="134"/>
        <scheme val="minor"/>
      </rPr>
      <t>师</t>
    </r>
    <r>
      <rPr>
        <sz val="11"/>
        <color theme="1"/>
        <rFont val="ＭＳ Ｐゴシック"/>
        <family val="3"/>
        <charset val="128"/>
        <scheme val="minor"/>
      </rPr>
      <t>企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管理咨</t>
    </r>
    <r>
      <rPr>
        <sz val="11"/>
        <color theme="1"/>
        <rFont val="ＭＳ Ｐゴシック"/>
        <family val="3"/>
        <charset val="134"/>
        <scheme val="minor"/>
      </rPr>
      <t>询</t>
    </r>
    <r>
      <rPr>
        <sz val="11"/>
        <color theme="1"/>
        <rFont val="ＭＳ Ｐゴシック"/>
        <family val="3"/>
        <charset val="128"/>
        <scheme val="minor"/>
      </rPr>
      <t>中心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</si>
  <si>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酒（烈酒）; 烈酒; 甜酒; 白酒; 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果酒; 露酒; 高粱酒</t>
    </r>
  </si>
  <si>
    <t>扎西班智雅</t>
  </si>
  <si>
    <r>
      <t>玉</t>
    </r>
    <r>
      <rPr>
        <sz val="11"/>
        <color theme="1"/>
        <rFont val="ＭＳ Ｐゴシック"/>
        <family val="3"/>
        <charset val="134"/>
        <scheme val="minor"/>
      </rPr>
      <t>树</t>
    </r>
    <r>
      <rPr>
        <sz val="11"/>
        <color theme="1"/>
        <rFont val="ＭＳ Ｐゴシック"/>
        <family val="3"/>
        <charset val="128"/>
        <scheme val="minor"/>
      </rPr>
      <t>州扎西班智雅生物科技有限公司</t>
    </r>
  </si>
  <si>
    <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青稞酒;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黄酒</t>
    </r>
  </si>
  <si>
    <t>花卷酒</t>
  </si>
  <si>
    <r>
      <t>郑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34"/>
        <scheme val="minor"/>
      </rPr>
      <t>赞</t>
    </r>
    <r>
      <rPr>
        <sz val="11"/>
        <color theme="1"/>
        <rFont val="ＭＳ Ｐゴシック"/>
        <family val="3"/>
        <charset val="128"/>
        <scheme val="minor"/>
      </rPr>
      <t>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</si>
  <si>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薄荷酒;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蒸煮提取物（利口酒和烈酒）; 青稞酒; 黄酒; 食用酒精; 白酒</t>
    </r>
  </si>
  <si>
    <t>虎能酒</t>
  </si>
  <si>
    <t>戴林美</t>
  </si>
  <si>
    <r>
      <t xml:space="preserve">青稞酒; 黄酒; 葡萄酒; 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米酒</t>
    </r>
  </si>
  <si>
    <r>
      <t>绘</t>
    </r>
    <r>
      <rPr>
        <sz val="11"/>
        <color theme="1"/>
        <rFont val="ＭＳ Ｐゴシック"/>
        <family val="3"/>
        <charset val="128"/>
        <scheme val="minor"/>
      </rPr>
      <t>本</t>
    </r>
  </si>
  <si>
    <r>
      <t>宁小</t>
    </r>
    <r>
      <rPr>
        <sz val="11"/>
        <color theme="1"/>
        <rFont val="ＭＳ Ｐゴシック"/>
        <family val="3"/>
        <charset val="134"/>
        <scheme val="minor"/>
      </rPr>
      <t>刚</t>
    </r>
  </si>
  <si>
    <r>
      <t>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威士忌; 伏特加酒;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黄酒</t>
    </r>
  </si>
  <si>
    <r>
      <t>张</t>
    </r>
    <r>
      <rPr>
        <sz val="11"/>
        <color theme="1"/>
        <rFont val="ＭＳ Ｐゴシック"/>
        <family val="3"/>
        <charset val="128"/>
        <scheme val="minor"/>
      </rPr>
      <t>裕印象</t>
    </r>
  </si>
  <si>
    <r>
      <t>烟台</t>
    </r>
    <r>
      <rPr>
        <sz val="11"/>
        <color theme="1"/>
        <rFont val="ＭＳ Ｐゴシック"/>
        <family val="3"/>
        <charset val="134"/>
        <scheme val="minor"/>
      </rPr>
      <t>张</t>
    </r>
    <r>
      <rPr>
        <sz val="11"/>
        <color theme="1"/>
        <rFont val="ＭＳ Ｐゴシック"/>
        <family val="3"/>
        <charset val="128"/>
        <scheme val="minor"/>
      </rPr>
      <t>裕集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</si>
  <si>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威士忌; 白酒; 餐后酒（利口酒和烈酒）;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汽酒</t>
    </r>
  </si>
  <si>
    <t>邱道健</t>
  </si>
  <si>
    <r>
      <t>食用酒精;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米酒; 葡萄酒;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威士忌;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</si>
  <si>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品雕十六</t>
  </si>
  <si>
    <r>
      <t>湖州莫行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</si>
  <si>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清酒;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白酒; 葡萄酒; 食用酒精</t>
    </r>
  </si>
  <si>
    <r>
      <t>和</t>
    </r>
    <r>
      <rPr>
        <sz val="11"/>
        <color theme="1"/>
        <rFont val="ＭＳ Ｐゴシック"/>
        <family val="3"/>
        <charset val="134"/>
        <scheme val="minor"/>
      </rPr>
      <t>谐</t>
    </r>
    <r>
      <rPr>
        <sz val="11"/>
        <color theme="1"/>
        <rFont val="ＭＳ Ｐゴシック"/>
        <family val="3"/>
        <charset val="128"/>
        <scheme val="minor"/>
      </rPr>
      <t>好合</t>
    </r>
  </si>
  <si>
    <r>
      <t>天暮（武</t>
    </r>
    <r>
      <rPr>
        <sz val="11"/>
        <color theme="1"/>
        <rFont val="ＭＳ Ｐゴシック"/>
        <family val="3"/>
        <charset val="134"/>
        <scheme val="minor"/>
      </rPr>
      <t>汉</t>
    </r>
    <r>
      <rPr>
        <sz val="11"/>
        <color theme="1"/>
        <rFont val="ＭＳ Ｐゴシック"/>
        <family val="3"/>
        <charset val="128"/>
        <scheme val="minor"/>
      </rPr>
      <t>）投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基金有限公司</t>
    </r>
  </si>
  <si>
    <r>
      <t>苦味酒;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果酒（含酒精）; 米酒; 白酒; 薄荷酒; 黄酒; 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</si>
  <si>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赣</t>
    </r>
    <r>
      <rPr>
        <sz val="11"/>
        <color theme="1"/>
        <rFont val="ＭＳ Ｐゴシック"/>
        <family val="3"/>
        <charset val="128"/>
        <scheme val="minor"/>
      </rPr>
      <t>之行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</si>
  <si>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</t>
    </r>
    <r>
      <rPr>
        <sz val="11"/>
        <color theme="1"/>
        <rFont val="ＭＳ Ｐゴシック"/>
        <family val="3"/>
        <charset val="134"/>
        <scheme val="minor"/>
      </rPr>
      <t>酱赐</t>
    </r>
    <r>
      <rPr>
        <sz val="11"/>
        <color theme="1"/>
        <rFont val="ＭＳ Ｐゴシック"/>
        <family val="3"/>
        <charset val="128"/>
        <scheme val="minor"/>
      </rPr>
      <t>名酒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</si>
  <si>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果酒（含酒精）;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</t>
    </r>
  </si>
  <si>
    <r>
      <t>行走的滋</t>
    </r>
    <r>
      <rPr>
        <sz val="11"/>
        <color theme="1"/>
        <rFont val="ＭＳ Ｐゴシック"/>
        <family val="3"/>
        <charset val="134"/>
        <scheme val="minor"/>
      </rPr>
      <t>卟</t>
    </r>
    <r>
      <rPr>
        <sz val="11"/>
        <color theme="1"/>
        <rFont val="ＭＳ Ｐゴシック"/>
        <family val="3"/>
        <charset val="128"/>
        <scheme val="minor"/>
      </rPr>
      <t>家</t>
    </r>
  </si>
  <si>
    <r>
      <t>青</t>
    </r>
    <r>
      <rPr>
        <sz val="11"/>
        <color theme="1"/>
        <rFont val="ＭＳ Ｐゴシック"/>
        <family val="3"/>
        <charset val="134"/>
        <scheme val="minor"/>
      </rPr>
      <t>岛</t>
    </r>
    <r>
      <rPr>
        <sz val="11"/>
        <color theme="1"/>
        <rFont val="ＭＳ Ｐゴシック"/>
        <family val="3"/>
        <charset val="128"/>
        <scheme val="minor"/>
      </rPr>
      <t>科若思网</t>
    </r>
    <r>
      <rPr>
        <sz val="11"/>
        <color theme="1"/>
        <rFont val="ＭＳ Ｐゴシック"/>
        <family val="3"/>
        <charset val="134"/>
        <scheme val="minor"/>
      </rPr>
      <t>络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</si>
  <si>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苹果酒; 葡萄酒; 黄酒; 梨酒;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白酒; 开胃酒;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</si>
  <si>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州杜千酒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</si>
  <si>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葡萄酒; 米酒; 利口酒;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薄荷酒; 果酒（含酒精）; 黄酒</t>
    </r>
  </si>
  <si>
    <t>VT VANA TALLIM 40</t>
  </si>
  <si>
    <r>
      <t>利</t>
    </r>
    <r>
      <rPr>
        <sz val="11"/>
        <color theme="1"/>
        <rFont val="ＭＳ Ｐゴシック"/>
        <family val="3"/>
        <charset val="134"/>
        <scheme val="minor"/>
      </rPr>
      <t>维</t>
    </r>
    <r>
      <rPr>
        <sz val="11"/>
        <color theme="1"/>
        <rFont val="ＭＳ Ｐゴシック"/>
        <family val="3"/>
        <charset val="128"/>
        <scheme val="minor"/>
      </rPr>
      <t>可公共有限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</si>
  <si>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开胃酒; 威士忌; 果酒（含酒精）; 朗姆酒;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利口酒;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</si>
  <si>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任你行</t>
  </si>
  <si>
    <r>
      <t>西咸新区空港新城金梦</t>
    </r>
    <r>
      <rPr>
        <sz val="11"/>
        <color theme="1"/>
        <rFont val="ＭＳ Ｐゴシック"/>
        <family val="3"/>
        <charset val="134"/>
        <scheme val="minor"/>
      </rPr>
      <t>诚</t>
    </r>
    <r>
      <rPr>
        <sz val="11"/>
        <color theme="1"/>
        <rFont val="ＭＳ Ｐゴシック"/>
        <family val="3"/>
        <charset val="128"/>
        <scheme val="minor"/>
      </rPr>
      <t>百</t>
    </r>
    <r>
      <rPr>
        <sz val="11"/>
        <color theme="1"/>
        <rFont val="ＭＳ Ｐゴシック"/>
        <family val="3"/>
        <charset val="134"/>
        <scheme val="minor"/>
      </rPr>
      <t>货</t>
    </r>
    <r>
      <rPr>
        <sz val="11"/>
        <color theme="1"/>
        <rFont val="ＭＳ Ｐゴシック"/>
        <family val="3"/>
        <charset val="128"/>
        <scheme val="minor"/>
      </rPr>
      <t>店</t>
    </r>
  </si>
  <si>
    <t>葡萄酒; 果酒; 开胃酒; 汽酒; 黄酒; 白酒; 清酒; 米酒; 食用酒精; 甜酒</t>
  </si>
  <si>
    <t>粮福年</t>
  </si>
  <si>
    <r>
      <t>张</t>
    </r>
    <r>
      <rPr>
        <sz val="11"/>
        <color theme="1"/>
        <rFont val="ＭＳ Ｐゴシック"/>
        <family val="3"/>
        <charset val="128"/>
        <scheme val="minor"/>
      </rPr>
      <t>玉其</t>
    </r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</si>
  <si>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开胃酒;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威士忌; 烈酒; 黄酒; 清酒（日本米酒）; 葡萄酒</t>
    </r>
  </si>
  <si>
    <t>塘村西岭</t>
  </si>
  <si>
    <r>
      <t>陈</t>
    </r>
    <r>
      <rPr>
        <sz val="11"/>
        <color theme="1"/>
        <rFont val="ＭＳ Ｐゴシック"/>
        <family val="3"/>
        <charset val="128"/>
        <scheme val="minor"/>
      </rPr>
      <t>思</t>
    </r>
    <r>
      <rPr>
        <sz val="11"/>
        <color theme="1"/>
        <rFont val="ＭＳ Ｐゴシック"/>
        <family val="3"/>
        <charset val="134"/>
        <scheme val="minor"/>
      </rPr>
      <t>总</t>
    </r>
  </si>
  <si>
    <r>
      <t>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蜂蜜酒; 黄酒; 米酒; 甘蔗制酒精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</t>
    </r>
  </si>
  <si>
    <t>REDMI</t>
  </si>
  <si>
    <r>
      <t>小米科技有限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</si>
  <si>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开胃酒;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黄酒;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威士忌</t>
    </r>
  </si>
  <si>
    <r>
      <t>川</t>
    </r>
    <r>
      <rPr>
        <sz val="11"/>
        <color theme="1"/>
        <rFont val="ＭＳ Ｐゴシック"/>
        <family val="3"/>
        <charset val="134"/>
        <scheme val="minor"/>
      </rPr>
      <t>凤</t>
    </r>
    <r>
      <rPr>
        <sz val="11"/>
        <color theme="1"/>
        <rFont val="ＭＳ Ｐゴシック"/>
        <family val="3"/>
        <charset val="128"/>
        <scheme val="minor"/>
      </rPr>
      <t xml:space="preserve"> 酒</t>
    </r>
  </si>
  <si>
    <r>
      <t>四川</t>
    </r>
    <r>
      <rPr>
        <sz val="11"/>
        <color theme="1"/>
        <rFont val="ＭＳ Ｐゴシック"/>
        <family val="3"/>
        <charset val="134"/>
        <scheme val="minor"/>
      </rPr>
      <t>赛</t>
    </r>
    <r>
      <rPr>
        <sz val="11"/>
        <color theme="1"/>
        <rFont val="ＭＳ Ｐゴシック"/>
        <family val="3"/>
        <charset val="128"/>
        <scheme val="minor"/>
      </rPr>
      <t>池酒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股份有限公司</t>
    </r>
  </si>
  <si>
    <r>
      <t xml:space="preserve">果酒（含酒精）; 黄酒;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清酒; 白酒; 葡萄酒;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烈酒</t>
    </r>
  </si>
  <si>
    <t>大唐晋阳王 酒</t>
  </si>
  <si>
    <r>
      <t>安</t>
    </r>
    <r>
      <rPr>
        <sz val="11"/>
        <color theme="1"/>
        <rFont val="ＭＳ Ｐゴシック"/>
        <family val="3"/>
        <charset val="134"/>
        <scheme val="minor"/>
      </rPr>
      <t>鹏飞</t>
    </r>
  </si>
  <si>
    <r>
      <t xml:space="preserve">果酒（含酒精）; 葡萄酒; 利口酒;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开胃酒</t>
    </r>
  </si>
  <si>
    <r>
      <t>陈</t>
    </r>
    <r>
      <rPr>
        <sz val="11"/>
        <color theme="1"/>
        <rFont val="ＭＳ Ｐゴシック"/>
        <family val="3"/>
        <charset val="128"/>
        <scheme val="minor"/>
      </rPr>
      <t>粮翁</t>
    </r>
  </si>
  <si>
    <r>
      <t>钟贵</t>
    </r>
    <r>
      <rPr>
        <sz val="11"/>
        <color theme="1"/>
        <rFont val="ＭＳ Ｐゴシック"/>
        <family val="3"/>
        <charset val="128"/>
        <scheme val="minor"/>
      </rPr>
      <t>云</t>
    </r>
  </si>
  <si>
    <r>
      <t>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开胃酒; 烈酒; 清酒（日本米酒）;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果酒（含酒精）; 白酒</t>
    </r>
  </si>
  <si>
    <r>
      <t>鄕</t>
    </r>
    <r>
      <rPr>
        <sz val="11"/>
        <color theme="1"/>
        <rFont val="ＭＳ Ｐゴシック"/>
        <family val="3"/>
        <charset val="134"/>
        <scheme val="minor"/>
      </rPr>
      <t>远</t>
    </r>
    <r>
      <rPr>
        <sz val="11"/>
        <color theme="1"/>
        <rFont val="ＭＳ Ｐゴシック"/>
        <family val="3"/>
        <charset val="128"/>
        <scheme val="minor"/>
      </rPr>
      <t xml:space="preserve"> 衣</t>
    </r>
    <r>
      <rPr>
        <sz val="11"/>
        <color theme="1"/>
        <rFont val="ＭＳ Ｐゴシック"/>
        <family val="3"/>
        <charset val="134"/>
        <scheme val="minor"/>
      </rPr>
      <t>锦还乡</t>
    </r>
    <r>
      <rPr>
        <sz val="11"/>
        <color theme="1"/>
        <rFont val="ＭＳ Ｐゴシック"/>
        <family val="3"/>
        <charset val="128"/>
        <scheme val="minor"/>
      </rPr>
      <t xml:space="preserve"> 宏才</t>
    </r>
    <r>
      <rPr>
        <sz val="11"/>
        <color theme="1"/>
        <rFont val="ＭＳ Ｐゴシック"/>
        <family val="3"/>
        <charset val="134"/>
        <scheme val="minor"/>
      </rPr>
      <t>远</t>
    </r>
    <r>
      <rPr>
        <sz val="11"/>
        <color theme="1"/>
        <rFont val="ＭＳ Ｐゴシック"/>
        <family val="3"/>
        <charset val="128"/>
        <scheme val="minor"/>
      </rPr>
      <t>志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</si>
  <si>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州春</t>
    </r>
    <r>
      <rPr>
        <sz val="11"/>
        <color theme="1"/>
        <rFont val="ＭＳ Ｐゴシック"/>
        <family val="3"/>
        <charset val="134"/>
        <scheme val="minor"/>
      </rPr>
      <t>铭</t>
    </r>
    <r>
      <rPr>
        <sz val="11"/>
        <color theme="1"/>
        <rFont val="ＭＳ Ｐゴシック"/>
        <family val="3"/>
        <charset val="128"/>
        <scheme val="minor"/>
      </rPr>
      <t>坊酒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</si>
  <si>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 xml:space="preserve">白酒; 果酒（含酒精）;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</t>
    </r>
  </si>
  <si>
    <t>褐彩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</si>
  <si>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市茅台</t>
    </r>
    <r>
      <rPr>
        <sz val="11"/>
        <color theme="1"/>
        <rFont val="ＭＳ Ｐゴシック"/>
        <family val="3"/>
        <charset val="134"/>
        <scheme val="minor"/>
      </rPr>
      <t>镇</t>
    </r>
    <r>
      <rPr>
        <sz val="11"/>
        <color theme="1"/>
        <rFont val="ＭＳ Ｐゴシック"/>
        <family val="3"/>
        <charset val="128"/>
        <scheme val="minor"/>
      </rPr>
      <t>古珍酒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</si>
  <si>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食用酒精; 葡萄酒; 果酒（含酒精）; 清酒; 蒸煮提取物（利口酒和烈酒）;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</t>
    </r>
  </si>
  <si>
    <r>
      <t>潭</t>
    </r>
    <r>
      <rPr>
        <sz val="11"/>
        <color theme="1"/>
        <rFont val="ＭＳ Ｐゴシック"/>
        <family val="3"/>
        <charset val="134"/>
        <scheme val="minor"/>
      </rPr>
      <t>囩</t>
    </r>
  </si>
  <si>
    <r>
      <t>谢</t>
    </r>
    <r>
      <rPr>
        <sz val="11"/>
        <color theme="1"/>
        <rFont val="ＭＳ Ｐゴシック"/>
        <family val="3"/>
        <charset val="128"/>
        <scheme val="minor"/>
      </rPr>
      <t>文彬</t>
    </r>
  </si>
  <si>
    <r>
      <t xml:space="preserve">高粱酒;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梅酒; 清酒（日本米酒）;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黄酒;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</si>
  <si>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武当山天喜</t>
  </si>
  <si>
    <t>丁洋冠</t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</si>
  <si>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葡萄酒; 薄荷酒; 威士忌;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蜂蜜酒; 白酒</t>
    </r>
  </si>
  <si>
    <t>舜子孝</t>
  </si>
  <si>
    <r>
      <t>新宁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天</t>
    </r>
    <r>
      <rPr>
        <sz val="11"/>
        <color theme="1"/>
        <rFont val="ＭＳ Ｐゴシック"/>
        <family val="3"/>
        <charset val="134"/>
        <scheme val="minor"/>
      </rPr>
      <t>农农业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</si>
  <si>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米酒; 草莓酒;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蝮蛇酒; 黄酒; 果酒; 葡萄酒;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清酒; 白酒</t>
    </r>
  </si>
  <si>
    <r>
      <t>广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火眼数字科技有限公司</t>
    </r>
  </si>
  <si>
    <r>
      <t>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甜酒;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烈性干酒;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</t>
    </r>
  </si>
  <si>
    <t>京都房御医御</t>
  </si>
  <si>
    <r>
      <t>香港京都御医秘方大</t>
    </r>
    <r>
      <rPr>
        <sz val="11"/>
        <color theme="1"/>
        <rFont val="ＭＳ Ｐゴシック"/>
        <family val="3"/>
        <charset val="134"/>
        <scheme val="minor"/>
      </rPr>
      <t>药</t>
    </r>
    <r>
      <rPr>
        <sz val="11"/>
        <color theme="1"/>
        <rFont val="ＭＳ Ｐゴシック"/>
        <family val="3"/>
        <charset val="128"/>
        <scheme val="minor"/>
      </rPr>
      <t>厂有限公司</t>
    </r>
  </si>
  <si>
    <r>
      <t>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蜂蜜酒; 果酒; 葡萄酒; 黄酒</t>
    </r>
  </si>
  <si>
    <t>耿凳 R</t>
  </si>
  <si>
    <r>
      <t>成都金堂世</t>
    </r>
    <r>
      <rPr>
        <sz val="11"/>
        <color theme="1"/>
        <rFont val="ＭＳ Ｐゴシック"/>
        <family val="3"/>
        <charset val="134"/>
        <scheme val="minor"/>
      </rPr>
      <t>纪</t>
    </r>
    <r>
      <rPr>
        <sz val="11"/>
        <color theme="1"/>
        <rFont val="ＭＳ Ｐゴシック"/>
        <family val="3"/>
        <charset val="128"/>
        <scheme val="minor"/>
      </rPr>
      <t>怡都</t>
    </r>
    <r>
      <rPr>
        <sz val="11"/>
        <color theme="1"/>
        <rFont val="ＭＳ Ｐゴシック"/>
        <family val="3"/>
        <charset val="134"/>
        <scheme val="minor"/>
      </rPr>
      <t>娱乐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</si>
  <si>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蒸煮提取物（利口酒和烈酒）;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食用酒精;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</si>
  <si>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否</t>
    </r>
    <r>
      <rPr>
        <sz val="11"/>
        <color theme="1"/>
        <rFont val="ＭＳ Ｐゴシック"/>
        <family val="3"/>
        <charset val="134"/>
        <scheme val="minor"/>
      </rPr>
      <t>岁传</t>
    </r>
    <r>
      <rPr>
        <sz val="11"/>
        <color theme="1"/>
        <rFont val="ＭＳ Ｐゴシック"/>
        <family val="3"/>
        <charset val="128"/>
        <scheme val="minor"/>
      </rPr>
      <t>承</t>
    </r>
  </si>
  <si>
    <r>
      <t>承德裕粮醇酒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</si>
  <si>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白酒; 米酒; 黄酒; 食用酒精;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</si>
  <si>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怀</t>
    </r>
    <r>
      <rPr>
        <sz val="11"/>
        <color theme="1"/>
        <rFont val="ＭＳ Ｐゴシック"/>
        <family val="3"/>
        <charset val="128"/>
        <scheme val="minor"/>
      </rPr>
      <t>溪金</t>
    </r>
    <r>
      <rPr>
        <sz val="11"/>
        <color theme="1"/>
        <rFont val="ＭＳ Ｐゴシック"/>
        <family val="3"/>
        <charset val="134"/>
        <scheme val="minor"/>
      </rPr>
      <t>线</t>
    </r>
  </si>
  <si>
    <t>何必浪</t>
  </si>
  <si>
    <r>
      <t xml:space="preserve">米酒; 白酒;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 xml:space="preserve">梅酒; 葡萄酒;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开胃酒;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</si>
  <si>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皇子小米匠</t>
  </si>
  <si>
    <r>
      <t>泰安市泰山日出酒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</si>
  <si>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黄酒;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果酒（含酒精）; 露酒</t>
    </r>
  </si>
  <si>
    <r>
      <t>明徽</t>
    </r>
    <r>
      <rPr>
        <sz val="11"/>
        <color theme="1"/>
        <rFont val="ＭＳ Ｐゴシック"/>
        <family val="3"/>
        <charset val="134"/>
        <scheme val="minor"/>
      </rPr>
      <t>岁阅</t>
    </r>
  </si>
  <si>
    <r>
      <t>刘明</t>
    </r>
    <r>
      <rPr>
        <sz val="11"/>
        <color theme="1"/>
        <rFont val="ＭＳ Ｐゴシック"/>
        <family val="3"/>
        <charset val="134"/>
        <scheme val="minor"/>
      </rPr>
      <t>辉</t>
    </r>
  </si>
  <si>
    <r>
      <t xml:space="preserve">威士忌; 黄酒; 伏特加酒; 朗姆酒; 葡萄酒;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甜酒; 青稞酒; 利口酒</t>
    </r>
  </si>
  <si>
    <t>柚舞</t>
  </si>
  <si>
    <t>申娟</t>
  </si>
  <si>
    <r>
      <t xml:space="preserve">果酒（含酒精）;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清酒; 甜酒; 高粱酒;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葡萄酒</t>
    </r>
  </si>
  <si>
    <t>JXBG</t>
  </si>
  <si>
    <r>
      <t>海南嘉新保国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</si>
  <si>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威士忌;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果酒（含酒精）; 青稞酒</t>
    </r>
  </si>
  <si>
    <t>花山美遇</t>
  </si>
  <si>
    <r>
      <t>武</t>
    </r>
    <r>
      <rPr>
        <sz val="11"/>
        <color theme="1"/>
        <rFont val="ＭＳ Ｐゴシック"/>
        <family val="3"/>
        <charset val="134"/>
        <scheme val="minor"/>
      </rPr>
      <t>汉</t>
    </r>
    <r>
      <rPr>
        <sz val="11"/>
        <color theme="1"/>
        <rFont val="ＭＳ Ｐゴシック"/>
        <family val="3"/>
        <charset val="128"/>
        <scheme val="minor"/>
      </rPr>
      <t>智</t>
    </r>
    <r>
      <rPr>
        <sz val="11"/>
        <color theme="1"/>
        <rFont val="ＭＳ Ｐゴシック"/>
        <family val="3"/>
        <charset val="134"/>
        <scheme val="minor"/>
      </rPr>
      <t>乐</t>
    </r>
    <r>
      <rPr>
        <sz val="11"/>
        <color theme="1"/>
        <rFont val="ＭＳ Ｐゴシック"/>
        <family val="3"/>
        <charset val="128"/>
        <scheme val="minor"/>
      </rPr>
      <t>健康智能</t>
    </r>
    <r>
      <rPr>
        <sz val="11"/>
        <color theme="1"/>
        <rFont val="ＭＳ Ｐゴシック"/>
        <family val="3"/>
        <charset val="134"/>
        <scheme val="minor"/>
      </rPr>
      <t>产业</t>
    </r>
    <r>
      <rPr>
        <sz val="11"/>
        <color theme="1"/>
        <rFont val="ＭＳ Ｐゴシック"/>
        <family val="3"/>
        <charset val="128"/>
        <scheme val="minor"/>
      </rPr>
      <t>运</t>
    </r>
    <r>
      <rPr>
        <sz val="11"/>
        <color theme="1"/>
        <rFont val="ＭＳ Ｐゴシック"/>
        <family val="3"/>
        <charset val="134"/>
        <scheme val="minor"/>
      </rPr>
      <t>营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</si>
  <si>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米酒; 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苹果酒;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</si>
  <si>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银</t>
    </r>
    <r>
      <rPr>
        <sz val="11"/>
        <color theme="1"/>
        <rFont val="ＭＳ Ｐゴシック"/>
        <family val="3"/>
        <charset val="128"/>
        <scheme val="minor"/>
      </rPr>
      <t>尊豪聚 YINZUNHAOSHUN</t>
    </r>
  </si>
  <si>
    <t>温州佰谷聚食品有限公司</t>
  </si>
  <si>
    <r>
      <t xml:space="preserve">蜂蜜酒; 梨酒; 白酒;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</t>
    </r>
  </si>
  <si>
    <r>
      <t>君和酒</t>
    </r>
    <r>
      <rPr>
        <sz val="11"/>
        <color theme="1"/>
        <rFont val="ＭＳ Ｐゴシック"/>
        <family val="3"/>
        <charset val="134"/>
        <scheme val="minor"/>
      </rPr>
      <t>团</t>
    </r>
  </si>
  <si>
    <t>河南三珍坊食品有限公司</t>
  </si>
  <si>
    <r>
      <t>果酒; 露酒;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蜂蜜酒; 高粱酒; 葡萄酒; 米酒</t>
    </r>
  </si>
  <si>
    <r>
      <t>粮恋古</t>
    </r>
    <r>
      <rPr>
        <sz val="11"/>
        <color theme="1"/>
        <rFont val="ＭＳ Ｐゴシック"/>
        <family val="3"/>
        <charset val="134"/>
        <scheme val="minor"/>
      </rPr>
      <t>酿</t>
    </r>
  </si>
  <si>
    <r>
      <t>张红</t>
    </r>
    <r>
      <rPr>
        <sz val="11"/>
        <color theme="1"/>
        <rFont val="ＭＳ Ｐゴシック"/>
        <family val="3"/>
        <charset val="128"/>
        <scheme val="minor"/>
      </rPr>
      <t>海</t>
    </r>
  </si>
  <si>
    <r>
      <t xml:space="preserve">葡萄酒;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果酒（含酒精）; 米酒; 青稞酒; 蜂蜜酒;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</si>
  <si>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精彩苔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</si>
  <si>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才酒</t>
    </r>
    <r>
      <rPr>
        <sz val="11"/>
        <color theme="1"/>
        <rFont val="ＭＳ Ｐゴシック"/>
        <family val="3"/>
        <charset val="134"/>
        <scheme val="minor"/>
      </rPr>
      <t>业销</t>
    </r>
    <r>
      <rPr>
        <sz val="11"/>
        <color theme="1"/>
        <rFont val="ＭＳ Ｐゴシック"/>
        <family val="3"/>
        <charset val="128"/>
        <scheme val="minor"/>
      </rPr>
      <t>售有限公司</t>
    </r>
  </si>
  <si>
    <r>
      <t>开胃酒; 清酒; 葡萄潘趣酒; 含酒精的潘趣酒;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果酒;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米酒（泡盛酒）; 起泡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威末酒</t>
    </r>
  </si>
  <si>
    <t>灌河湾</t>
  </si>
  <si>
    <t>左真平</t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</si>
  <si>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苹果酒; 米酒; 黄酒; 葡萄酒;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</t>
    </r>
  </si>
  <si>
    <t>湘聚潮味</t>
  </si>
  <si>
    <r>
      <t>广州湘聚餐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品牌管理有限公司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</si>
  <si>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蜂蜜酒; 朗姆酒;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伏特加酒; 白酒; 黄酒; 威士忌</t>
    </r>
  </si>
  <si>
    <r>
      <t>胡</t>
    </r>
    <r>
      <rPr>
        <sz val="11"/>
        <color theme="1"/>
        <rFont val="ＭＳ Ｐゴシック"/>
        <family val="3"/>
        <charset val="134"/>
        <scheme val="minor"/>
      </rPr>
      <t>导</t>
    </r>
  </si>
  <si>
    <r>
      <t>内蒙古</t>
    </r>
    <r>
      <rPr>
        <sz val="11"/>
        <color theme="1"/>
        <rFont val="ＭＳ Ｐゴシック"/>
        <family val="3"/>
        <charset val="134"/>
        <scheme val="minor"/>
      </rPr>
      <t>顺泽</t>
    </r>
    <r>
      <rPr>
        <sz val="11"/>
        <color theme="1"/>
        <rFont val="ＭＳ Ｐゴシック"/>
        <family val="3"/>
        <charset val="128"/>
        <scheme val="minor"/>
      </rPr>
      <t>园商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</si>
  <si>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烈酒; 黄酒;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清酒（日本米酒）; 葡萄酒</t>
    </r>
  </si>
  <si>
    <t>ADORNICE</t>
  </si>
  <si>
    <r>
      <t>贾</t>
    </r>
    <r>
      <rPr>
        <sz val="11"/>
        <color theme="1"/>
        <rFont val="ＭＳ Ｐゴシック"/>
        <family val="3"/>
        <charset val="128"/>
        <scheme val="minor"/>
      </rPr>
      <t>鑫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</si>
  <si>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果酒; 蜂蜜酒;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白酒; 露酒; 甜酒</t>
    </r>
  </si>
  <si>
    <r>
      <t>功熟</t>
    </r>
    <r>
      <rPr>
        <sz val="11"/>
        <color theme="1"/>
        <rFont val="ＭＳ Ｐゴシック"/>
        <family val="3"/>
        <charset val="134"/>
        <scheme val="minor"/>
      </rPr>
      <t>汉</t>
    </r>
  </si>
  <si>
    <r>
      <t>酩玖（广州）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</si>
  <si>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餐后酒（利口酒和烈酒）;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白干酒（中国白酒）; 果酒（含酒精）;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青稞酒</t>
    </r>
  </si>
  <si>
    <t>歪歪精灵</t>
  </si>
  <si>
    <r>
      <t>怀</t>
    </r>
    <r>
      <rPr>
        <sz val="11"/>
        <color theme="1"/>
        <rFont val="ＭＳ Ｐゴシック"/>
        <family val="3"/>
        <charset val="134"/>
        <scheme val="minor"/>
      </rPr>
      <t>远县</t>
    </r>
    <r>
      <rPr>
        <sz val="11"/>
        <color theme="1"/>
        <rFont val="ＭＳ Ｐゴシック"/>
        <family val="3"/>
        <charset val="128"/>
        <scheme val="minor"/>
      </rPr>
      <t>白乳泉商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</si>
  <si>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白酒; 开胃酒;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食用酒精</t>
    </r>
  </si>
  <si>
    <r>
      <t>善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翁</t>
    </r>
  </si>
  <si>
    <r>
      <t>吕</t>
    </r>
    <r>
      <rPr>
        <sz val="11"/>
        <color theme="1"/>
        <rFont val="ＭＳ Ｐゴシック"/>
        <family val="3"/>
        <charset val="128"/>
        <scheme val="minor"/>
      </rPr>
      <t>新峰</t>
    </r>
  </si>
  <si>
    <r>
      <t>清酒; 白酒; 蒸煮提取物（利口酒和烈酒）;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高粱酒; 开胃酒; 黄酒</t>
    </r>
  </si>
  <si>
    <r>
      <t>最</t>
    </r>
    <r>
      <rPr>
        <sz val="11"/>
        <color theme="1"/>
        <rFont val="ＭＳ Ｐゴシック"/>
        <family val="3"/>
        <charset val="134"/>
        <scheme val="minor"/>
      </rPr>
      <t>华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</si>
  <si>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州豪</t>
    </r>
    <r>
      <rPr>
        <sz val="11"/>
        <color theme="1"/>
        <rFont val="ＭＳ Ｐゴシック"/>
        <family val="3"/>
        <charset val="134"/>
        <scheme val="minor"/>
      </rPr>
      <t>润农业发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</si>
  <si>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甜果酒; 白干酒（中国白酒）; 青稞酒; 梨酒; 果酒; 黄酒;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米酒</t>
    </r>
  </si>
  <si>
    <t>小叶菁 食</t>
  </si>
  <si>
    <t>叶菁</t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</si>
  <si>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</si>
  <si>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中革酩久</t>
  </si>
  <si>
    <t>陈伟</t>
  </si>
  <si>
    <r>
      <t>米酒;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烈酒; 黄酒; 高粱酒; 果酒;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</t>
    </r>
  </si>
  <si>
    <t>邛峰</t>
  </si>
  <si>
    <r>
      <t>四川沱江春酒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</si>
  <si>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果酒（含酒精）; 白酒;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开胃酒; 清酒（日本米酒）; 威士忌; 米酒</t>
    </r>
  </si>
  <si>
    <r>
      <t>俩</t>
    </r>
    <r>
      <rPr>
        <sz val="11"/>
        <color theme="1"/>
        <rFont val="ＭＳ Ｐゴシック"/>
        <family val="3"/>
        <charset val="128"/>
        <scheme val="minor"/>
      </rPr>
      <t>江主</t>
    </r>
    <r>
      <rPr>
        <sz val="11"/>
        <color theme="1"/>
        <rFont val="ＭＳ Ｐゴシック"/>
        <family val="3"/>
        <charset val="134"/>
        <scheme val="minor"/>
      </rPr>
      <t>题</t>
    </r>
  </si>
  <si>
    <r>
      <t>张</t>
    </r>
    <r>
      <rPr>
        <sz val="11"/>
        <color theme="1"/>
        <rFont val="ＭＳ Ｐゴシック"/>
        <family val="3"/>
        <charset val="128"/>
        <scheme val="minor"/>
      </rPr>
      <t>西宏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</si>
  <si>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汽酒; 桃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 xml:space="preserve">桃酒;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白酒; 烈酒; 天然汽酒; 伏特加酒;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</si>
  <si>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云氏斟道</t>
  </si>
  <si>
    <r>
      <t>广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省佛山市禅城区云氏斟道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</si>
  <si>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开胃酒; 苹果酒; 葡萄酒; 清酒（日本米酒）;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</t>
    </r>
  </si>
  <si>
    <t>全舒雅</t>
  </si>
  <si>
    <r>
      <t>威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葡萄酒股份有限公司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</si>
  <si>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威士忌; 葡萄酒;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食用酒精; 果酒（含酒精）</t>
    </r>
  </si>
  <si>
    <t>天幕</t>
  </si>
  <si>
    <r>
      <t>天幕（香港）国</t>
    </r>
    <r>
      <rPr>
        <sz val="11"/>
        <color theme="1"/>
        <rFont val="ＭＳ Ｐゴシック"/>
        <family val="3"/>
        <charset val="134"/>
        <scheme val="minor"/>
      </rPr>
      <t>际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</si>
  <si>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清酒（日本米酒）;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</si>
  <si>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慧清泉</t>
  </si>
  <si>
    <t>姜国保</t>
  </si>
  <si>
    <r>
      <t>果酒; 汽酒; 白酒;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青稞酒;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</t>
    </r>
  </si>
  <si>
    <r>
      <t xml:space="preserve">米酒; 白酒;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青稞酒;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果酒; 葡萄酒; 汽酒</t>
    </r>
  </si>
  <si>
    <r>
      <t>陈</t>
    </r>
    <r>
      <rPr>
        <sz val="11"/>
        <color theme="1"/>
        <rFont val="ＭＳ Ｐゴシック"/>
        <family val="3"/>
        <charset val="128"/>
        <scheme val="minor"/>
      </rPr>
      <t>四味</t>
    </r>
  </si>
  <si>
    <r>
      <t>浙江澎湃酒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</si>
  <si>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黄酒; 甘蔗制烈酒</t>
    </r>
  </si>
  <si>
    <t>小巷息洲郡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</si>
  <si>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34"/>
        <scheme val="minor"/>
      </rPr>
      <t>汉储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</si>
  <si>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果酒; 烈酒;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高粱酒; 葡萄酒; 黄酒; 开胃酒</t>
    </r>
  </si>
  <si>
    <t>兔牙网</t>
  </si>
  <si>
    <r>
      <t>贵</t>
    </r>
    <r>
      <rPr>
        <sz val="11"/>
        <color theme="1"/>
        <rFont val="ＭＳ Ｐゴシック"/>
        <family val="3"/>
        <charset val="128"/>
        <scheme val="minor"/>
      </rPr>
      <t>阳兔牙网</t>
    </r>
    <r>
      <rPr>
        <sz val="11"/>
        <color theme="1"/>
        <rFont val="ＭＳ Ｐゴシック"/>
        <family val="3"/>
        <charset val="134"/>
        <scheme val="minor"/>
      </rPr>
      <t>络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</si>
  <si>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 xml:space="preserve">葡萄酒;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餐后酒（利口酒和烈酒）; 黄酒; 威士忌; 食用酒精</t>
    </r>
  </si>
  <si>
    <t>粮位</t>
  </si>
  <si>
    <t>周余芹</t>
  </si>
  <si>
    <r>
      <t xml:space="preserve">果酒（含酒精）;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黄酒; 葡萄酒; 白酒</t>
    </r>
  </si>
  <si>
    <r>
      <t>极</t>
    </r>
    <r>
      <rPr>
        <sz val="11"/>
        <color theme="1"/>
        <rFont val="ＭＳ Ｐゴシック"/>
        <family val="3"/>
        <charset val="134"/>
        <scheme val="minor"/>
      </rPr>
      <t>隐</t>
    </r>
  </si>
  <si>
    <r>
      <t>成都市慢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9"/>
        <scheme val="minor"/>
      </rPr>
      <t>优</t>
    </r>
    <r>
      <rPr>
        <sz val="11"/>
        <color theme="1"/>
        <rFont val="ＭＳ Ｐゴシック"/>
        <family val="3"/>
        <charset val="128"/>
        <scheme val="minor"/>
      </rPr>
      <t>品商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</si>
  <si>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高粱酒;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白干酒（中国白酒）;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白酒; 果酒（含酒精）; 米酒</t>
    </r>
  </si>
  <si>
    <r>
      <t>鹰</t>
    </r>
    <r>
      <rPr>
        <sz val="11"/>
        <color theme="1"/>
        <rFont val="ＭＳ Ｐゴシック"/>
        <family val="3"/>
        <charset val="128"/>
        <scheme val="minor"/>
      </rPr>
      <t>潭</t>
    </r>
    <r>
      <rPr>
        <sz val="11"/>
        <color theme="1"/>
        <rFont val="ＭＳ Ｐゴシック"/>
        <family val="3"/>
        <charset val="134"/>
        <scheme val="minor"/>
      </rPr>
      <t>鸿华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</si>
  <si>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果酒（含酒精）; 白酒</t>
    </r>
  </si>
  <si>
    <t>云璟台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</si>
  <si>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州尊</t>
    </r>
    <r>
      <rPr>
        <sz val="11"/>
        <color theme="1"/>
        <rFont val="ＭＳ Ｐゴシック"/>
        <family val="3"/>
        <charset val="134"/>
        <scheme val="minor"/>
      </rPr>
      <t>贵</t>
    </r>
    <r>
      <rPr>
        <sz val="11"/>
        <color theme="1"/>
        <rFont val="ＭＳ Ｐゴシック"/>
        <family val="3"/>
        <charset val="128"/>
        <scheme val="minor"/>
      </rPr>
      <t>人酒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</si>
  <si>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米酒;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餐后酒（利口酒和烈酒）; 露酒; 果酒（含酒精）</t>
    </r>
  </si>
  <si>
    <r>
      <t>源</t>
    </r>
    <r>
      <rPr>
        <sz val="11"/>
        <color theme="1"/>
        <rFont val="ＭＳ Ｐゴシック"/>
        <family val="3"/>
        <charset val="134"/>
        <scheme val="minor"/>
      </rPr>
      <t>坛蓝钻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</si>
  <si>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市德四方酒</t>
    </r>
    <r>
      <rPr>
        <sz val="11"/>
        <color theme="1"/>
        <rFont val="ＭＳ Ｐゴシック"/>
        <family val="3"/>
        <charset val="134"/>
        <scheme val="minor"/>
      </rPr>
      <t>业销</t>
    </r>
    <r>
      <rPr>
        <sz val="11"/>
        <color theme="1"/>
        <rFont val="ＭＳ Ｐゴシック"/>
        <family val="3"/>
        <charset val="128"/>
        <scheme val="minor"/>
      </rPr>
      <t>售有限公司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</si>
  <si>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开胃酒;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白酒;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米酒</t>
    </r>
  </si>
  <si>
    <t>誉上珍</t>
  </si>
  <si>
    <r>
      <t>孟</t>
    </r>
    <r>
      <rPr>
        <sz val="11"/>
        <color theme="1"/>
        <rFont val="ＭＳ Ｐゴシック"/>
        <family val="3"/>
        <charset val="134"/>
        <scheme val="minor"/>
      </rPr>
      <t>庆贤</t>
    </r>
  </si>
  <si>
    <r>
      <t>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汽酒; 朝</t>
    </r>
    <r>
      <rPr>
        <sz val="11"/>
        <color theme="1"/>
        <rFont val="ＭＳ Ｐゴシック"/>
        <family val="3"/>
        <charset val="134"/>
        <scheme val="minor"/>
      </rPr>
      <t>鲜</t>
    </r>
    <r>
      <rPr>
        <sz val="11"/>
        <color theme="1"/>
        <rFont val="ＭＳ Ｐゴシック"/>
        <family val="3"/>
        <charset val="128"/>
        <scheme val="minor"/>
      </rPr>
      <t>族米酒; 苹果酒;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</t>
    </r>
  </si>
  <si>
    <t>七八九道坑</t>
  </si>
  <si>
    <r>
      <t>蔡</t>
    </r>
    <r>
      <rPr>
        <sz val="11"/>
        <color theme="1"/>
        <rFont val="ＭＳ Ｐゴシック"/>
        <family val="3"/>
        <charset val="134"/>
        <scheme val="minor"/>
      </rPr>
      <t>锦</t>
    </r>
    <r>
      <rPr>
        <sz val="11"/>
        <color theme="1"/>
        <rFont val="ＭＳ Ｐゴシック"/>
        <family val="3"/>
        <charset val="128"/>
        <scheme val="minor"/>
      </rPr>
      <t>秀</t>
    </r>
  </si>
  <si>
    <r>
      <t>混合威士忌酒;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黄酒; 利口酒;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葡萄酒; 伏特加酒;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苦味酒; 米酒</t>
    </r>
  </si>
  <si>
    <t>NATIONLIW</t>
  </si>
  <si>
    <r>
      <t>膳史</t>
    </r>
    <r>
      <rPr>
        <sz val="11"/>
        <color theme="1"/>
        <rFont val="ＭＳ Ｐゴシック"/>
        <family val="3"/>
        <charset val="134"/>
        <scheme val="minor"/>
      </rPr>
      <t>纪</t>
    </r>
    <r>
      <rPr>
        <sz val="11"/>
        <color theme="1"/>
        <rFont val="ＭＳ Ｐゴシック"/>
        <family val="3"/>
        <charset val="128"/>
        <scheme val="minor"/>
      </rPr>
      <t>(海南)控股有限公司</t>
    </r>
  </si>
  <si>
    <r>
      <t>清酒（日本米酒）; 朗姆酒; 高粱酒; 黄酒; 青稞酒; 威士忌; 伏特加酒; 白干酒（中国白酒）;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白酒</t>
    </r>
  </si>
  <si>
    <r>
      <t>温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文化旅游投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</si>
  <si>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蒸煮提取物（利口酒和烈酒）;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食用酒精; 果酒; 威士忌; 米酒; 烈酒; 白酒; 黄酒;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</si>
  <si>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源</t>
    </r>
    <r>
      <rPr>
        <sz val="11"/>
        <color theme="1"/>
        <rFont val="ＭＳ Ｐゴシック"/>
        <family val="3"/>
        <charset val="134"/>
        <scheme val="minor"/>
      </rPr>
      <t>坛</t>
    </r>
    <r>
      <rPr>
        <sz val="11"/>
        <color theme="1"/>
        <rFont val="ＭＳ Ｐゴシック"/>
        <family val="3"/>
        <charset val="128"/>
        <scheme val="minor"/>
      </rPr>
      <t>金</t>
    </r>
    <r>
      <rPr>
        <sz val="11"/>
        <color theme="1"/>
        <rFont val="ＭＳ Ｐゴシック"/>
        <family val="3"/>
        <charset val="134"/>
        <scheme val="minor"/>
      </rPr>
      <t>钻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</si>
  <si>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开胃酒;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葡萄酒;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</si>
  <si>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果酒; 蒸煮提取物（利口酒和烈酒）;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烈酒; 白酒; 米酒; 食用酒精;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威士忌; 黄酒</t>
    </r>
  </si>
  <si>
    <t>山河胤</t>
  </si>
  <si>
    <t>吴友兵</t>
  </si>
  <si>
    <r>
      <t>青稞酒; 食用酒精; 白酒; 果酒（含酒精）;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米酒; 清酒（日本米酒）;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</si>
  <si>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t>富太哈哈</t>
  </si>
  <si>
    <t>富太哈食品（吉林）有限公司</t>
  </si>
  <si>
    <r>
      <t>葡萄酒; 米酒; 含酒精的水果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蜂蜜酒;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威士忌</t>
    </r>
  </si>
  <si>
    <r>
      <t>瑞哥甄</t>
    </r>
    <r>
      <rPr>
        <sz val="11"/>
        <color theme="1"/>
        <rFont val="ＭＳ Ｐゴシック"/>
        <family val="3"/>
        <charset val="134"/>
        <scheme val="minor"/>
      </rPr>
      <t>选</t>
    </r>
  </si>
  <si>
    <t>梁新社</t>
  </si>
  <si>
    <r>
      <t>高粱酒;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果酒; 葡萄酒</t>
    </r>
  </si>
  <si>
    <t>FUNNY INTIME</t>
  </si>
  <si>
    <r>
      <t>青</t>
    </r>
    <r>
      <rPr>
        <sz val="11"/>
        <color theme="1"/>
        <rFont val="ＭＳ Ｐゴシック"/>
        <family val="3"/>
        <charset val="134"/>
        <scheme val="minor"/>
      </rPr>
      <t>岛</t>
    </r>
    <r>
      <rPr>
        <sz val="11"/>
        <color theme="1"/>
        <rFont val="ＭＳ Ｐゴシック"/>
        <family val="3"/>
        <charset val="128"/>
        <scheme val="minor"/>
      </rPr>
      <t>众上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</si>
  <si>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果酒（含酒精）; 米酒; 威士忌; 白酒;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</si>
  <si>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文台</t>
  </si>
  <si>
    <r>
      <t>有数酒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（上海）有限公司</t>
    </r>
  </si>
  <si>
    <r>
      <t>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含酒精的水果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白酒; 开胃酒; 蜂蜜酒; 果酒（含酒精）</t>
    </r>
  </si>
  <si>
    <r>
      <t>安徽建功慕信企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</si>
  <si>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 xml:space="preserve">黄酒;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甘蔗制烈酒; 葡萄酒;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</si>
  <si>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浄雅香</t>
  </si>
  <si>
    <r>
      <t>河北</t>
    </r>
    <r>
      <rPr>
        <sz val="11"/>
        <color theme="1"/>
        <rFont val="ＭＳ Ｐゴシック"/>
        <family val="3"/>
        <charset val="134"/>
        <scheme val="minor"/>
      </rPr>
      <t>凤</t>
    </r>
    <r>
      <rPr>
        <sz val="11"/>
        <color theme="1"/>
        <rFont val="ＭＳ Ｐゴシック"/>
        <family val="3"/>
        <charset val="128"/>
        <scheme val="minor"/>
      </rPr>
      <t>来</t>
    </r>
    <r>
      <rPr>
        <sz val="11"/>
        <color theme="1"/>
        <rFont val="ＭＳ Ｐゴシック"/>
        <family val="3"/>
        <charset val="134"/>
        <scheme val="minor"/>
      </rPr>
      <t>仪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</si>
  <si>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米酒; 黄酒; 伏特加酒;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白干酒（中国白酒）;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高粱酒; 白酒;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</t>
    </r>
  </si>
  <si>
    <r>
      <t>杨发</t>
    </r>
    <r>
      <rPr>
        <sz val="11"/>
        <color theme="1"/>
        <rFont val="ＭＳ Ｐゴシック"/>
        <family val="3"/>
        <charset val="128"/>
        <scheme val="minor"/>
      </rPr>
      <t>良</t>
    </r>
  </si>
  <si>
    <r>
      <t>白酒; 甘蔗制酒精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烈酒; 开胃酒;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苦味酒; 食用酒精;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</t>
    </r>
  </si>
  <si>
    <r>
      <t>铸剑</t>
    </r>
    <r>
      <rPr>
        <sz val="11"/>
        <color theme="1"/>
        <rFont val="ＭＳ Ｐゴシック"/>
        <family val="3"/>
        <charset val="128"/>
        <scheme val="minor"/>
      </rPr>
      <t>者</t>
    </r>
  </si>
  <si>
    <r>
      <t>深圳市金智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麒</t>
    </r>
    <r>
      <rPr>
        <sz val="11"/>
        <color theme="1"/>
        <rFont val="ＭＳ Ｐゴシック"/>
        <family val="3"/>
        <charset val="134"/>
        <scheme val="minor"/>
      </rPr>
      <t>创</t>
    </r>
    <r>
      <rPr>
        <sz val="11"/>
        <color theme="1"/>
        <rFont val="ＭＳ Ｐゴシック"/>
        <family val="3"/>
        <charset val="128"/>
        <scheme val="minor"/>
      </rPr>
      <t>意包装有限公司</t>
    </r>
  </si>
  <si>
    <r>
      <t xml:space="preserve">黄酒; 苦味酒; 米酒; 食用酒精; 威士忌; 青稞酒;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利口酒;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</t>
    </r>
  </si>
  <si>
    <r>
      <t>云酥宝</t>
    </r>
    <r>
      <rPr>
        <sz val="11"/>
        <color theme="1"/>
        <rFont val="ＭＳ Ｐゴシック"/>
        <family val="3"/>
        <charset val="134"/>
        <scheme val="minor"/>
      </rPr>
      <t>龙</t>
    </r>
  </si>
  <si>
    <r>
      <t>安</t>
    </r>
    <r>
      <rPr>
        <sz val="11"/>
        <color theme="1"/>
        <rFont val="ＭＳ Ｐゴシック"/>
        <family val="3"/>
        <charset val="134"/>
        <scheme val="minor"/>
      </rPr>
      <t>庆</t>
    </r>
    <r>
      <rPr>
        <sz val="11"/>
        <color theme="1"/>
        <rFont val="ＭＳ Ｐゴシック"/>
        <family val="3"/>
        <charset val="128"/>
        <scheme val="minor"/>
      </rPr>
      <t>圣医堂医</t>
    </r>
    <r>
      <rPr>
        <sz val="11"/>
        <color theme="1"/>
        <rFont val="ＭＳ Ｐゴシック"/>
        <family val="3"/>
        <charset val="134"/>
        <scheme val="minor"/>
      </rPr>
      <t>疗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</si>
  <si>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杨</t>
    </r>
    <r>
      <rPr>
        <sz val="11"/>
        <color theme="1"/>
        <rFont val="ＭＳ Ｐゴシック"/>
        <family val="3"/>
        <charset val="128"/>
        <scheme val="minor"/>
      </rPr>
      <t xml:space="preserve">梅酒; 露酒;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米酒;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果酒; 白酒; 黄酒</t>
    </r>
  </si>
  <si>
    <r>
      <t>亚风</t>
    </r>
    <r>
      <rPr>
        <sz val="11"/>
        <color theme="1"/>
        <rFont val="ＭＳ Ｐゴシック"/>
        <family val="3"/>
        <charset val="128"/>
        <scheme val="minor"/>
      </rPr>
      <t>泉宝</t>
    </r>
    <r>
      <rPr>
        <sz val="11"/>
        <color theme="1"/>
        <rFont val="ＭＳ Ｐゴシック"/>
        <family val="3"/>
        <charset val="134"/>
        <scheme val="minor"/>
      </rPr>
      <t>龙</t>
    </r>
  </si>
  <si>
    <r>
      <t>杨</t>
    </r>
    <r>
      <rPr>
        <sz val="11"/>
        <color theme="1"/>
        <rFont val="ＭＳ Ｐゴシック"/>
        <family val="3"/>
        <charset val="128"/>
        <scheme val="minor"/>
      </rPr>
      <t xml:space="preserve">梅酒;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黄酒; 白酒; 露酒;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</t>
    </r>
  </si>
  <si>
    <t>刘伶醉金元古窖</t>
  </si>
  <si>
    <r>
      <t>刘伶醉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酒股份有限公司</t>
    </r>
  </si>
  <si>
    <r>
      <t>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葡萄酒;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酒（烈酒）; 果酒; 果酒（含酒精）; 甜酒; 米酒; 高粱酒;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</si>
  <si>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央悠</t>
  </si>
  <si>
    <r>
      <t>广西金之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</si>
  <si>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白酒; 甜酒; 高粱酒; 果酒; 黄酒; 食用酒精;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露酒</t>
    </r>
  </si>
  <si>
    <t>青藏客 QING ZANG GUEST</t>
  </si>
  <si>
    <r>
      <t>青海</t>
    </r>
    <r>
      <rPr>
        <sz val="11"/>
        <color theme="1"/>
        <rFont val="ＭＳ Ｐゴシック"/>
        <family val="3"/>
        <charset val="134"/>
        <scheme val="minor"/>
      </rPr>
      <t>兴农实业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</si>
  <si>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果酒; 蒸煮提取物（利口酒和烈酒）; 高粱酒; 白酒; 葡萄酒; 黄酒; 米酒</t>
    </r>
  </si>
  <si>
    <r>
      <t>份</t>
    </r>
    <r>
      <rPr>
        <sz val="11"/>
        <color theme="1"/>
        <rFont val="ＭＳ Ｐゴシック"/>
        <family val="3"/>
        <charset val="134"/>
        <scheme val="minor"/>
      </rPr>
      <t>选</t>
    </r>
  </si>
  <si>
    <r>
      <t>常熟市梅李</t>
    </r>
    <r>
      <rPr>
        <sz val="11"/>
        <color theme="1"/>
        <rFont val="ＭＳ Ｐゴシック"/>
        <family val="3"/>
        <charset val="134"/>
        <scheme val="minor"/>
      </rPr>
      <t>镇枫</t>
    </r>
    <r>
      <rPr>
        <sz val="11"/>
        <color theme="1"/>
        <rFont val="ＭＳ Ｐゴシック"/>
        <family val="3"/>
        <charset val="128"/>
        <scheme val="minor"/>
      </rPr>
      <t>之</t>
    </r>
    <r>
      <rPr>
        <sz val="11"/>
        <color theme="1"/>
        <rFont val="ＭＳ Ｐゴシック"/>
        <family val="3"/>
        <charset val="134"/>
        <scheme val="minor"/>
      </rPr>
      <t>绵杂货</t>
    </r>
    <r>
      <rPr>
        <sz val="11"/>
        <color theme="1"/>
        <rFont val="ＭＳ Ｐゴシック"/>
        <family val="3"/>
        <charset val="128"/>
        <scheme val="minor"/>
      </rPr>
      <t>店</t>
    </r>
  </si>
  <si>
    <r>
      <t>白酒; 米酒; 葡萄酒; 果酒（含酒精）;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白干酒（中国白酒）;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</si>
  <si>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颐</t>
    </r>
    <r>
      <rPr>
        <sz val="11"/>
        <color theme="1"/>
        <rFont val="ＭＳ Ｐゴシック"/>
        <family val="3"/>
        <charset val="128"/>
        <scheme val="minor"/>
      </rPr>
      <t>和情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</si>
  <si>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州大前</t>
    </r>
    <r>
      <rPr>
        <sz val="11"/>
        <color theme="1"/>
        <rFont val="ＭＳ Ｐゴシック"/>
        <family val="3"/>
        <charset val="134"/>
        <scheme val="minor"/>
      </rPr>
      <t>门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</si>
  <si>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烈酒;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白干酒（中国白酒）;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果酒; 梅酒;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威士忌</t>
    </r>
  </si>
  <si>
    <r>
      <t>华</t>
    </r>
    <r>
      <rPr>
        <sz val="11"/>
        <color theme="1"/>
        <rFont val="ＭＳ Ｐゴシック"/>
        <family val="3"/>
        <charset val="128"/>
        <scheme val="minor"/>
      </rPr>
      <t>人</t>
    </r>
    <r>
      <rPr>
        <sz val="11"/>
        <color theme="1"/>
        <rFont val="ＭＳ Ｐゴシック"/>
        <family val="3"/>
        <charset val="129"/>
        <scheme val="minor"/>
      </rPr>
      <t>怀</t>
    </r>
  </si>
  <si>
    <t>雷升波</t>
  </si>
  <si>
    <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米酒; 青稞酒; 白酒; 黄酒; 清酒（日本米酒）;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果酒; 清酒</t>
    </r>
  </si>
  <si>
    <t>MGXZ 牧戈小子</t>
  </si>
  <si>
    <r>
      <t>新疆恒</t>
    </r>
    <r>
      <rPr>
        <sz val="11"/>
        <color theme="1"/>
        <rFont val="ＭＳ Ｐゴシック"/>
        <family val="3"/>
        <charset val="134"/>
        <scheme val="minor"/>
      </rPr>
      <t>润</t>
    </r>
    <r>
      <rPr>
        <sz val="11"/>
        <color theme="1"/>
        <rFont val="ＭＳ Ｐゴシック"/>
        <family val="3"/>
        <charset val="128"/>
        <scheme val="minor"/>
      </rPr>
      <t>凡</t>
    </r>
    <r>
      <rPr>
        <sz val="11"/>
        <color theme="1"/>
        <rFont val="ＭＳ Ｐゴシック"/>
        <family val="3"/>
        <charset val="134"/>
        <scheme val="minor"/>
      </rPr>
      <t>农业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</si>
  <si>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果酒（含酒精）;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黄酒; 白酒;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</si>
  <si>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方格菌博园 FANGGE FUNGUS PARK</t>
  </si>
  <si>
    <r>
      <t>浙江方格</t>
    </r>
    <r>
      <rPr>
        <sz val="11"/>
        <color theme="1"/>
        <rFont val="ＭＳ Ｐゴシック"/>
        <family val="3"/>
        <charset val="134"/>
        <scheme val="minor"/>
      </rPr>
      <t>药业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</si>
  <si>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果酒; 葡萄酒</t>
    </r>
  </si>
  <si>
    <r>
      <t>壶涧</t>
    </r>
    <r>
      <rPr>
        <sz val="11"/>
        <color theme="1"/>
        <rFont val="ＭＳ Ｐゴシック"/>
        <family val="3"/>
        <charset val="128"/>
        <scheme val="minor"/>
      </rPr>
      <t>盅</t>
    </r>
  </si>
  <si>
    <r>
      <t>京山</t>
    </r>
    <r>
      <rPr>
        <sz val="11"/>
        <color theme="1"/>
        <rFont val="ＭＳ Ｐゴシック"/>
        <family val="3"/>
        <charset val="134"/>
        <scheme val="minor"/>
      </rPr>
      <t>壶涧</t>
    </r>
    <r>
      <rPr>
        <sz val="11"/>
        <color theme="1"/>
        <rFont val="ＭＳ Ｐゴシック"/>
        <family val="3"/>
        <charset val="128"/>
        <scheme val="minor"/>
      </rPr>
      <t>盅</t>
    </r>
    <r>
      <rPr>
        <sz val="11"/>
        <color theme="1"/>
        <rFont val="ＭＳ Ｐゴシック"/>
        <family val="3"/>
        <charset val="134"/>
        <scheme val="minor"/>
      </rPr>
      <t>纯</t>
    </r>
    <r>
      <rPr>
        <sz val="11"/>
        <color theme="1"/>
        <rFont val="ＭＳ Ｐゴシック"/>
        <family val="3"/>
        <charset val="128"/>
        <scheme val="minor"/>
      </rPr>
      <t>粮酒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</si>
  <si>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黄酒; 高粱酒;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青稞酒;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青梅酒</t>
    </r>
  </si>
  <si>
    <t>火舞</t>
  </si>
  <si>
    <t>徐静杏</t>
  </si>
  <si>
    <r>
      <t>青稞酒; 露酒; 黄酒; 果酒; 米酒;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高粱酒; 葡萄酒</t>
    </r>
  </si>
  <si>
    <r>
      <t>净</t>
    </r>
    <r>
      <rPr>
        <sz val="11"/>
        <color theme="1"/>
        <rFont val="ＭＳ Ｐゴシック"/>
        <family val="3"/>
        <charset val="128"/>
        <scheme val="minor"/>
      </rPr>
      <t>台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承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</si>
  <si>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34"/>
        <scheme val="minor"/>
      </rPr>
      <t>净</t>
    </r>
    <r>
      <rPr>
        <sz val="11"/>
        <color theme="1"/>
        <rFont val="ＭＳ Ｐゴシック"/>
        <family val="3"/>
        <charset val="128"/>
        <scheme val="minor"/>
      </rPr>
      <t>台酒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</si>
  <si>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利口酒; 米酒; 食用酒精;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清酒; 青稞酒;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开胃酒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</si>
  <si>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斯日</t>
    </r>
    <r>
      <rPr>
        <sz val="11"/>
        <color theme="1"/>
        <rFont val="ＭＳ Ｐゴシック"/>
        <family val="3"/>
        <charset val="134"/>
        <scheme val="minor"/>
      </rPr>
      <t>阔</t>
    </r>
  </si>
  <si>
    <r>
      <t>江高</t>
    </r>
    <r>
      <rPr>
        <sz val="11"/>
        <color theme="1"/>
        <rFont val="ＭＳ Ｐゴシック"/>
        <family val="3"/>
        <charset val="134"/>
        <scheme val="minor"/>
      </rPr>
      <t>财</t>
    </r>
  </si>
  <si>
    <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汽酒</t>
    </r>
  </si>
  <si>
    <r>
      <t>好</t>
    </r>
    <r>
      <rPr>
        <sz val="11"/>
        <color theme="1"/>
        <rFont val="ＭＳ Ｐゴシック"/>
        <family val="3"/>
        <charset val="134"/>
        <scheme val="minor"/>
      </rPr>
      <t>汉</t>
    </r>
    <r>
      <rPr>
        <sz val="11"/>
        <color theme="1"/>
        <rFont val="ＭＳ Ｐゴシック"/>
        <family val="3"/>
        <charset val="128"/>
        <scheme val="minor"/>
      </rPr>
      <t>召集令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</si>
  <si>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州省聚豪酒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</si>
  <si>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 xml:space="preserve">烈酒; 伏特加酒;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果酒; 清酒;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葡萄酒; 威士忌</t>
    </r>
  </si>
  <si>
    <t>承珍上品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</si>
  <si>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州承珍酒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</si>
  <si>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烈酒; 高粱酒;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白干酒（中国白酒）; 果酒;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</si>
  <si>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r>
      <t>北湖</t>
    </r>
    <r>
      <rPr>
        <sz val="11"/>
        <color theme="1"/>
        <rFont val="ＭＳ Ｐゴシック"/>
        <family val="3"/>
        <charset val="134"/>
        <scheme val="minor"/>
      </rPr>
      <t>头</t>
    </r>
    <r>
      <rPr>
        <sz val="11"/>
        <color theme="1"/>
        <rFont val="ＭＳ Ｐゴシック"/>
        <family val="3"/>
        <charset val="128"/>
        <scheme val="minor"/>
      </rPr>
      <t>老人</t>
    </r>
  </si>
  <si>
    <t>王崇俊</t>
  </si>
  <si>
    <r>
      <t>蜂蜜酒; 白酒; 果酒; 苦味酒;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 xml:space="preserve">桃酒; 葡萄酒; 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苹果酒</t>
    </r>
  </si>
  <si>
    <r>
      <t>中能建工（北京）技</t>
    </r>
    <r>
      <rPr>
        <sz val="11"/>
        <color theme="1"/>
        <rFont val="ＭＳ Ｐゴシック"/>
        <family val="3"/>
        <charset val="134"/>
        <scheme val="minor"/>
      </rPr>
      <t>术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</si>
  <si>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黄酒; 清酒; 葡萄酒; 青稞酒; 伏特加酒;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高粱酒; 果酒; 白酒</t>
    </r>
  </si>
  <si>
    <r>
      <t>仙</t>
    </r>
    <r>
      <rPr>
        <sz val="11"/>
        <color theme="1"/>
        <rFont val="ＭＳ Ｐゴシック"/>
        <family val="3"/>
        <charset val="134"/>
        <scheme val="minor"/>
      </rPr>
      <t>浆</t>
    </r>
    <r>
      <rPr>
        <sz val="11"/>
        <color theme="1"/>
        <rFont val="ＭＳ Ｐゴシック"/>
        <family val="3"/>
        <charset val="128"/>
        <scheme val="minor"/>
      </rPr>
      <t>大典</t>
    </r>
  </si>
  <si>
    <r>
      <t>员</t>
    </r>
    <r>
      <rPr>
        <sz val="11"/>
        <color theme="1"/>
        <rFont val="ＭＳ Ｐゴシック"/>
        <family val="3"/>
        <charset val="128"/>
        <scheme val="minor"/>
      </rPr>
      <t>美妮</t>
    </r>
  </si>
  <si>
    <t>汽酒; 甜酒; 白酒; 葡萄酒; 食用酒精; 米酒; 黄酒; 开胃酒; 清酒; 果酒</t>
  </si>
  <si>
    <t>三道濛江河</t>
  </si>
  <si>
    <t>李玉春</t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</si>
  <si>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黄酒;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白酒</t>
    </r>
  </si>
  <si>
    <t>老啤特米勒 OLD PETER MILLE</t>
  </si>
  <si>
    <r>
      <t>苏</t>
    </r>
    <r>
      <rPr>
        <sz val="11"/>
        <color theme="1"/>
        <rFont val="ＭＳ Ｐゴシック"/>
        <family val="3"/>
        <charset val="128"/>
        <scheme val="minor"/>
      </rPr>
      <t>州超</t>
    </r>
    <r>
      <rPr>
        <sz val="11"/>
        <color theme="1"/>
        <rFont val="ＭＳ Ｐゴシック"/>
        <family val="3"/>
        <charset val="129"/>
        <scheme val="minor"/>
      </rPr>
      <t>值</t>
    </r>
    <r>
      <rPr>
        <sz val="11"/>
        <color theme="1"/>
        <rFont val="ＭＳ Ｐゴシック"/>
        <family val="3"/>
        <charset val="128"/>
        <scheme val="minor"/>
      </rPr>
      <t>好</t>
    </r>
    <r>
      <rPr>
        <sz val="11"/>
        <color theme="1"/>
        <rFont val="ＭＳ Ｐゴシック"/>
        <family val="3"/>
        <charset val="134"/>
        <scheme val="minor"/>
      </rPr>
      <t>货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</si>
  <si>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朗姆酒; 薄荷酒; 白酒;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清酒（日本米酒）</t>
    </r>
  </si>
  <si>
    <t>文章有度</t>
  </si>
  <si>
    <r>
      <t>广州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易企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管理咨</t>
    </r>
    <r>
      <rPr>
        <sz val="11"/>
        <color theme="1"/>
        <rFont val="ＭＳ Ｐゴシック"/>
        <family val="3"/>
        <charset val="134"/>
        <scheme val="minor"/>
      </rPr>
      <t>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</si>
  <si>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米酒; 威士忌; 白葡萄酒;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白酒; 高粱酒</t>
    </r>
  </si>
  <si>
    <t>遵涛</t>
  </si>
  <si>
    <r>
      <t>深圳市</t>
    </r>
    <r>
      <rPr>
        <sz val="11"/>
        <color theme="1"/>
        <rFont val="ＭＳ Ｐゴシック"/>
        <family val="3"/>
        <charset val="134"/>
        <scheme val="minor"/>
      </rPr>
      <t>宾临门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</si>
  <si>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露酒; 清酒（日本米酒）; 威士忌;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高粱酒; 青梅酒;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白酒</t>
    </r>
  </si>
  <si>
    <r>
      <t>海</t>
    </r>
    <r>
      <rPr>
        <sz val="11"/>
        <color theme="1"/>
        <rFont val="ＭＳ Ｐゴシック"/>
        <family val="3"/>
        <charset val="134"/>
        <scheme val="minor"/>
      </rPr>
      <t>澜</t>
    </r>
    <r>
      <rPr>
        <sz val="11"/>
        <color theme="1"/>
        <rFont val="ＭＳ Ｐゴシック"/>
        <family val="3"/>
        <charset val="128"/>
        <scheme val="minor"/>
      </rPr>
      <t>之家品牌管理有限公司</t>
    </r>
  </si>
  <si>
    <r>
      <t>柑香酒;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利口酒; 威士忌; 甘蔗制酒精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清酒（日本米酒）; 朗姆酒</t>
    </r>
  </si>
  <si>
    <r>
      <t>汖</t>
    </r>
    <r>
      <rPr>
        <sz val="11"/>
        <color theme="1"/>
        <rFont val="ＭＳ Ｐゴシック"/>
        <family val="3"/>
        <charset val="128"/>
        <scheme val="minor"/>
      </rPr>
      <t>石</t>
    </r>
    <r>
      <rPr>
        <sz val="11"/>
        <color theme="1"/>
        <rFont val="ＭＳ Ｐゴシック"/>
        <family val="3"/>
        <charset val="134"/>
        <scheme val="minor"/>
      </rPr>
      <t>门</t>
    </r>
  </si>
  <si>
    <r>
      <t>王宗</t>
    </r>
    <r>
      <rPr>
        <sz val="11"/>
        <color theme="1"/>
        <rFont val="ＭＳ Ｐゴシック"/>
        <family val="3"/>
        <charset val="129"/>
        <scheme val="minor"/>
      </rPr>
      <t>胜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</si>
  <si>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威士忌;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开胃酒; 白酒;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</si>
  <si>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圣恩山</t>
  </si>
  <si>
    <r>
      <t>沈阳蒲公英甄</t>
    </r>
    <r>
      <rPr>
        <sz val="11"/>
        <color theme="1"/>
        <rFont val="ＭＳ Ｐゴシック"/>
        <family val="3"/>
        <charset val="134"/>
        <scheme val="minor"/>
      </rPr>
      <t>选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</si>
  <si>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甜酒;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葡萄酒; 白酒; 清酒（日本米酒）;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</t>
    </r>
  </si>
  <si>
    <t>中工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</si>
  <si>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34"/>
        <scheme val="minor"/>
      </rPr>
      <t>寻</t>
    </r>
    <r>
      <rPr>
        <sz val="11"/>
        <color theme="1"/>
        <rFont val="ＭＳ Ｐゴシック"/>
        <family val="3"/>
        <charset val="128"/>
        <scheme val="minor"/>
      </rPr>
      <t>酒之路酒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</si>
  <si>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果酒（含酒精）; 开胃酒; 薄荷酒;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</t>
    </r>
  </si>
  <si>
    <t>溢小妹</t>
  </si>
  <si>
    <r>
      <t>浙江和粮溢小妹供</t>
    </r>
    <r>
      <rPr>
        <sz val="11"/>
        <color theme="1"/>
        <rFont val="ＭＳ Ｐゴシック"/>
        <family val="3"/>
        <charset val="134"/>
        <scheme val="minor"/>
      </rPr>
      <t>应链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</si>
  <si>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蒸煮提取物（利口酒和烈酒）; 食用酒精; 米酒;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</t>
    </r>
  </si>
  <si>
    <t>甄供</t>
  </si>
  <si>
    <r>
      <t>四川省老</t>
    </r>
    <r>
      <rPr>
        <sz val="11"/>
        <color theme="1"/>
        <rFont val="ＭＳ Ｐゴシック"/>
        <family val="3"/>
        <charset val="134"/>
        <scheme val="minor"/>
      </rPr>
      <t>邻</t>
    </r>
    <r>
      <rPr>
        <sz val="11"/>
        <color theme="1"/>
        <rFont val="ＭＳ Ｐゴシック"/>
        <family val="3"/>
        <charset val="128"/>
        <scheme val="minor"/>
      </rPr>
      <t>居商</t>
    </r>
    <r>
      <rPr>
        <sz val="11"/>
        <color theme="1"/>
        <rFont val="ＭＳ Ｐゴシック"/>
        <family val="3"/>
        <charset val="134"/>
        <scheme val="minor"/>
      </rPr>
      <t>贸连锁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</si>
  <si>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烈酒; 米酒; 黄酒; 白酒; 果酒（含酒精）; 葡萄酒; 酸酒（低等葡萄酒）;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</t>
    </r>
  </si>
  <si>
    <t>野森刺王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</si>
  <si>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州健力果生物科技有限公司</t>
    </r>
  </si>
  <si>
    <r>
      <t>白干酒（中国白酒）;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米酒（泡盛酒）;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果酒; 烈酒; 葡萄酒; 白酒; 高粱酒; 米酒</t>
    </r>
  </si>
  <si>
    <t>蕲货</t>
  </si>
  <si>
    <r>
      <t>克玩品牌</t>
    </r>
    <r>
      <rPr>
        <sz val="11"/>
        <color theme="1"/>
        <rFont val="ＭＳ Ｐゴシック"/>
        <family val="3"/>
        <charset val="134"/>
        <scheme val="minor"/>
      </rPr>
      <t>设计</t>
    </r>
    <r>
      <rPr>
        <sz val="11"/>
        <color theme="1"/>
        <rFont val="ＭＳ Ｐゴシック"/>
        <family val="3"/>
        <charset val="128"/>
        <scheme val="minor"/>
      </rPr>
      <t>咨</t>
    </r>
    <r>
      <rPr>
        <sz val="11"/>
        <color theme="1"/>
        <rFont val="ＭＳ Ｐゴシック"/>
        <family val="3"/>
        <charset val="134"/>
        <scheme val="minor"/>
      </rPr>
      <t>询</t>
    </r>
    <r>
      <rPr>
        <sz val="11"/>
        <color theme="1"/>
        <rFont val="ＭＳ Ｐゴシック"/>
        <family val="3"/>
        <charset val="128"/>
        <scheme val="minor"/>
      </rPr>
      <t>湖北有限公司</t>
    </r>
  </si>
  <si>
    <r>
      <t>米酒;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青稞酒;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苦艾酒; 威士忌; 含酒精的充气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</t>
    </r>
  </si>
  <si>
    <t>玩者</t>
  </si>
  <si>
    <r>
      <t>赵</t>
    </r>
    <r>
      <rPr>
        <sz val="11"/>
        <color theme="1"/>
        <rFont val="ＭＳ Ｐゴシック"/>
        <family val="3"/>
        <charset val="128"/>
        <scheme val="minor"/>
      </rPr>
      <t>永</t>
    </r>
    <r>
      <rPr>
        <sz val="11"/>
        <color theme="1"/>
        <rFont val="ＭＳ Ｐゴシック"/>
        <family val="3"/>
        <charset val="134"/>
        <scheme val="minor"/>
      </rPr>
      <t>顺</t>
    </r>
  </si>
  <si>
    <r>
      <t xml:space="preserve">烈酒;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白干酒（中国白酒）; 黄酒;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果酒; 白酒; 利口酒</t>
    </r>
  </si>
  <si>
    <r>
      <t>轩</t>
    </r>
    <r>
      <rPr>
        <sz val="11"/>
        <color theme="1"/>
        <rFont val="ＭＳ Ｐゴシック"/>
        <family val="3"/>
        <charset val="128"/>
        <scheme val="minor"/>
      </rPr>
      <t>意五色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 xml:space="preserve"> XUANYI FIVE-COLOR LOONG</t>
    </r>
  </si>
  <si>
    <r>
      <t>曹</t>
    </r>
    <r>
      <rPr>
        <sz val="11"/>
        <color theme="1"/>
        <rFont val="ＭＳ Ｐゴシック"/>
        <family val="3"/>
        <charset val="134"/>
        <scheme val="minor"/>
      </rPr>
      <t>晓</t>
    </r>
    <r>
      <rPr>
        <sz val="11"/>
        <color theme="1"/>
        <rFont val="ＭＳ Ｐゴシック"/>
        <family val="3"/>
        <charset val="128"/>
        <scheme val="minor"/>
      </rPr>
      <t>勇</t>
    </r>
  </si>
  <si>
    <r>
      <t>利口酒;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黄酒; 米酒; 葡萄酒;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青稞酒; 白干酒（中国白酒）; 开胃酒</t>
    </r>
  </si>
  <si>
    <r>
      <t>周</t>
    </r>
    <r>
      <rPr>
        <sz val="11"/>
        <color theme="1"/>
        <rFont val="ＭＳ Ｐゴシック"/>
        <family val="3"/>
        <charset val="134"/>
        <scheme val="minor"/>
      </rPr>
      <t>鲁</t>
    </r>
    <r>
      <rPr>
        <sz val="11"/>
        <color theme="1"/>
        <rFont val="ＭＳ Ｐゴシック"/>
        <family val="3"/>
        <charset val="128"/>
        <scheme val="minor"/>
      </rPr>
      <t>白</t>
    </r>
  </si>
  <si>
    <t>广州市惠多广告有限公司</t>
  </si>
  <si>
    <r>
      <t>白酒;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威士忌;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</si>
  <si>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墨麒麟 HISTORICAL KYLIN</t>
  </si>
  <si>
    <r>
      <t>河南宝康医</t>
    </r>
    <r>
      <rPr>
        <sz val="11"/>
        <color theme="1"/>
        <rFont val="ＭＳ Ｐゴシック"/>
        <family val="3"/>
        <charset val="134"/>
        <scheme val="minor"/>
      </rPr>
      <t>药连锁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</si>
  <si>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青梅酒; 白酒; 清酒;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清酒（日本米酒）;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>酒; 白葡萄酒;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主的开胃酒</t>
    </r>
  </si>
  <si>
    <t>胖易来</t>
  </si>
  <si>
    <r>
      <t>洛阳陶祖酒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</si>
  <si>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汽酒; 果酒（含酒精）;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餐后酒（利口酒和烈酒）;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开胃酒</t>
    </r>
  </si>
  <si>
    <r>
      <t>清口</t>
    </r>
    <r>
      <rPr>
        <sz val="11"/>
        <color theme="1"/>
        <rFont val="ＭＳ Ｐゴシック"/>
        <family val="3"/>
        <charset val="134"/>
        <scheme val="minor"/>
      </rPr>
      <t>说爱</t>
    </r>
    <r>
      <rPr>
        <sz val="11"/>
        <color theme="1"/>
        <rFont val="ＭＳ Ｐゴシック"/>
        <family val="3"/>
        <charset val="128"/>
        <scheme val="minor"/>
      </rPr>
      <t>你</t>
    </r>
  </si>
  <si>
    <r>
      <t>广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新</t>
    </r>
    <r>
      <rPr>
        <sz val="11"/>
        <color theme="1"/>
        <rFont val="ＭＳ Ｐゴシック"/>
        <family val="3"/>
        <charset val="134"/>
        <scheme val="minor"/>
      </rPr>
      <t>乐</t>
    </r>
    <r>
      <rPr>
        <sz val="11"/>
        <color theme="1"/>
        <rFont val="ＭＳ Ｐゴシック"/>
        <family val="3"/>
        <charset val="128"/>
        <scheme val="minor"/>
      </rPr>
      <t>食品有限公司</t>
    </r>
  </si>
  <si>
    <r>
      <t>利口酒;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白干酒（中国白酒）;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果酒（含酒精）; 威士忌; 白酒; 葡萄酒</t>
    </r>
  </si>
  <si>
    <t>赊华</t>
  </si>
  <si>
    <r>
      <t>张</t>
    </r>
    <r>
      <rPr>
        <sz val="11"/>
        <color theme="1"/>
        <rFont val="ＭＳ Ｐゴシック"/>
        <family val="3"/>
        <charset val="128"/>
        <scheme val="minor"/>
      </rPr>
      <t>国印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</si>
  <si>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利口酒; 白酒; 黄酒;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</t>
    </r>
  </si>
  <si>
    <r>
      <t>北湖</t>
    </r>
    <r>
      <rPr>
        <sz val="11"/>
        <color theme="1"/>
        <rFont val="ＭＳ Ｐゴシック"/>
        <family val="3"/>
        <charset val="134"/>
        <scheme val="minor"/>
      </rPr>
      <t>头</t>
    </r>
    <r>
      <rPr>
        <sz val="11"/>
        <color theme="1"/>
        <rFont val="ＭＳ Ｐゴシック"/>
        <family val="3"/>
        <charset val="128"/>
        <scheme val="minor"/>
      </rPr>
      <t>老王</t>
    </r>
  </si>
  <si>
    <r>
      <t xml:space="preserve">白酒; 蜂蜜酒; 果酒; 苹果酒;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苦味酒;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烈酒</t>
    </r>
  </si>
  <si>
    <t>堂新</t>
  </si>
  <si>
    <r>
      <t>李俊</t>
    </r>
    <r>
      <rPr>
        <sz val="11"/>
        <color theme="1"/>
        <rFont val="ＭＳ Ｐゴシック"/>
        <family val="3"/>
        <charset val="134"/>
        <scheme val="minor"/>
      </rPr>
      <t>栋</t>
    </r>
  </si>
  <si>
    <r>
      <t>葡萄酒; 甜酒; 果酒; 食用酒精;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白葡萄酒; 葡萄潘趣酒;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梨酒</t>
    </r>
  </si>
  <si>
    <r>
      <t>五色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 xml:space="preserve"> FIVE COLOR LOONG</t>
    </r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</si>
  <si>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白干酒（中国白酒）; 利口酒; 青稞酒;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黄酒; 葡萄酒; 米酒; 开胃酒</t>
    </r>
  </si>
  <si>
    <r>
      <t>解</t>
    </r>
    <r>
      <rPr>
        <sz val="11"/>
        <color theme="1"/>
        <rFont val="ＭＳ Ｐゴシック"/>
        <family val="3"/>
        <charset val="134"/>
        <scheme val="minor"/>
      </rPr>
      <t>馋师</t>
    </r>
  </si>
  <si>
    <r>
      <t>西咸新区空港新城曲同恒百</t>
    </r>
    <r>
      <rPr>
        <sz val="11"/>
        <color theme="1"/>
        <rFont val="ＭＳ Ｐゴシック"/>
        <family val="3"/>
        <charset val="134"/>
        <scheme val="minor"/>
      </rPr>
      <t>货</t>
    </r>
    <r>
      <rPr>
        <sz val="11"/>
        <color theme="1"/>
        <rFont val="ＭＳ Ｐゴシック"/>
        <family val="3"/>
        <charset val="128"/>
        <scheme val="minor"/>
      </rPr>
      <t>店(个体工商</t>
    </r>
    <r>
      <rPr>
        <sz val="11"/>
        <color theme="1"/>
        <rFont val="ＭＳ Ｐゴシック"/>
        <family val="3"/>
        <charset val="134"/>
        <scheme val="minor"/>
      </rPr>
      <t>户</t>
    </r>
    <r>
      <rPr>
        <sz val="11"/>
        <color theme="1"/>
        <rFont val="ＭＳ Ｐゴシック"/>
        <family val="3"/>
        <charset val="128"/>
        <scheme val="minor"/>
      </rPr>
      <t>)</t>
    </r>
  </si>
  <si>
    <t>开胃酒; 果酒; 甜酒; 葡萄酒; 黄酒; 清酒; 白酒; 米酒; 汽酒; 食用酒精</t>
  </si>
  <si>
    <t>XIANSHANGHUA</t>
  </si>
  <si>
    <r>
      <t>河南豫奇</t>
    </r>
    <r>
      <rPr>
        <sz val="11"/>
        <color theme="1"/>
        <rFont val="ＭＳ Ｐゴシック"/>
        <family val="3"/>
        <charset val="134"/>
        <scheme val="minor"/>
      </rPr>
      <t>缘饮</t>
    </r>
    <r>
      <rPr>
        <sz val="11"/>
        <color theme="1"/>
        <rFont val="ＭＳ Ｐゴシック"/>
        <family val="3"/>
        <charset val="128"/>
        <scheme val="minor"/>
      </rPr>
      <t>品有限公司</t>
    </r>
  </si>
  <si>
    <r>
      <t>葡萄酒; 利口酒;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餐后酒（利口酒和烈酒）;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苹果酒; 黄酒</t>
    </r>
  </si>
  <si>
    <t>孟良河</t>
  </si>
  <si>
    <r>
      <t>定州林</t>
    </r>
    <r>
      <rPr>
        <sz val="11"/>
        <color theme="1"/>
        <rFont val="ＭＳ Ｐゴシック"/>
        <family val="3"/>
        <charset val="134"/>
        <scheme val="minor"/>
      </rPr>
      <t>跃</t>
    </r>
    <r>
      <rPr>
        <sz val="11"/>
        <color theme="1"/>
        <rFont val="ＭＳ Ｐゴシック"/>
        <family val="3"/>
        <charset val="128"/>
        <scheme val="minor"/>
      </rPr>
      <t>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</si>
  <si>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食用酒精;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白酒; 开胃酒; 朗姆酒; 果酒（含酒精）</t>
    </r>
  </si>
  <si>
    <r>
      <t>北湖</t>
    </r>
    <r>
      <rPr>
        <sz val="11"/>
        <color theme="1"/>
        <rFont val="ＭＳ Ｐゴシック"/>
        <family val="3"/>
        <charset val="134"/>
        <scheme val="minor"/>
      </rPr>
      <t>头</t>
    </r>
    <r>
      <rPr>
        <sz val="11"/>
        <color theme="1"/>
        <rFont val="ＭＳ Ｐゴシック"/>
        <family val="3"/>
        <charset val="128"/>
        <scheme val="minor"/>
      </rPr>
      <t>老王家</t>
    </r>
  </si>
  <si>
    <r>
      <t xml:space="preserve">果酒; 烈酒; 白酒;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苹果酒; 蜂蜜酒;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苦味酒</t>
    </r>
  </si>
  <si>
    <r>
      <t>娇</t>
    </r>
    <r>
      <rPr>
        <sz val="11"/>
        <color theme="1"/>
        <rFont val="ＭＳ Ｐゴシック"/>
        <family val="3"/>
        <charset val="128"/>
        <scheme val="minor"/>
      </rPr>
      <t>品</t>
    </r>
  </si>
  <si>
    <r>
      <t>重</t>
    </r>
    <r>
      <rPr>
        <sz val="11"/>
        <color theme="1"/>
        <rFont val="ＭＳ Ｐゴシック"/>
        <family val="3"/>
        <charset val="134"/>
        <scheme val="minor"/>
      </rPr>
      <t>庆</t>
    </r>
    <r>
      <rPr>
        <sz val="11"/>
        <color theme="1"/>
        <rFont val="ＭＳ Ｐゴシック"/>
        <family val="3"/>
        <charset val="128"/>
        <scheme val="minor"/>
      </rPr>
      <t>情秘</t>
    </r>
    <r>
      <rPr>
        <sz val="11"/>
        <color theme="1"/>
        <rFont val="ＭＳ Ｐゴシック"/>
        <family val="3"/>
        <charset val="134"/>
        <scheme val="minor"/>
      </rPr>
      <t>电</t>
    </r>
    <r>
      <rPr>
        <sz val="11"/>
        <color theme="1"/>
        <rFont val="ＭＳ Ｐゴシック"/>
        <family val="3"/>
        <charset val="128"/>
        <scheme val="minor"/>
      </rPr>
      <t>子商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</si>
  <si>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白酒; 烈酒; 露酒; 米酒; 葡萄酒; 果酒; 高粱酒; 黄酒; 青稞酒;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</si>
  <si>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陈</t>
    </r>
    <r>
      <rPr>
        <sz val="11"/>
        <color theme="1"/>
        <rFont val="ＭＳ Ｐゴシック"/>
        <family val="3"/>
        <charset val="128"/>
        <scheme val="minor"/>
      </rPr>
      <t>十五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</si>
  <si>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34"/>
        <scheme val="minor"/>
      </rPr>
      <t>尧</t>
    </r>
    <r>
      <rPr>
        <sz val="11"/>
        <color theme="1"/>
        <rFont val="ＭＳ Ｐゴシック"/>
        <family val="3"/>
        <charset val="128"/>
        <scheme val="minor"/>
      </rPr>
      <t>台酒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</si>
  <si>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开胃酒; 葡萄酒; 利口酒;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白酒</t>
    </r>
  </si>
  <si>
    <t>GRAND RESERVADA ESTATE BOTTLED</t>
  </si>
  <si>
    <r>
      <t>阿雷</t>
    </r>
    <r>
      <rPr>
        <sz val="11"/>
        <color theme="1"/>
        <rFont val="ＭＳ Ｐゴシック"/>
        <family val="3"/>
        <charset val="134"/>
        <scheme val="minor"/>
      </rPr>
      <t>纳尔</t>
    </r>
    <r>
      <rPr>
        <sz val="11"/>
        <color theme="1"/>
        <rFont val="ＭＳ Ｐゴシック"/>
        <family val="3"/>
        <charset val="128"/>
        <scheme val="minor"/>
      </rPr>
      <t>葡萄酒有限公司</t>
    </r>
  </si>
  <si>
    <t>微本培元</t>
  </si>
  <si>
    <r>
      <t>燕园人合集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</si>
  <si>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主的开胃酒; 白干酒（中国白酒）; 烈性干酒; 白酒;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甜果酒</t>
    </r>
  </si>
  <si>
    <r>
      <t>百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天下 广交天下朋友</t>
    </r>
  </si>
  <si>
    <r>
      <t>邯</t>
    </r>
    <r>
      <rPr>
        <sz val="11"/>
        <color theme="1"/>
        <rFont val="ＭＳ Ｐゴシック"/>
        <family val="3"/>
        <charset val="134"/>
        <scheme val="minor"/>
      </rPr>
      <t>郸</t>
    </r>
    <r>
      <rPr>
        <sz val="11"/>
        <color theme="1"/>
        <rFont val="ＭＳ Ｐゴシック"/>
        <family val="3"/>
        <charset val="128"/>
        <scheme val="minor"/>
      </rPr>
      <t>市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浦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</si>
  <si>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米酒（泡盛酒）; 烈酒; 米酒;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葡萄酒;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高粱酒; 利口酒</t>
    </r>
  </si>
  <si>
    <t>礼盒仔</t>
  </si>
  <si>
    <r>
      <t>北京元隆雅</t>
    </r>
    <r>
      <rPr>
        <sz val="11"/>
        <color theme="1"/>
        <rFont val="ＭＳ Ｐゴシック"/>
        <family val="3"/>
        <charset val="134"/>
        <scheme val="minor"/>
      </rPr>
      <t>图</t>
    </r>
    <r>
      <rPr>
        <sz val="11"/>
        <color theme="1"/>
        <rFont val="ＭＳ Ｐゴシック"/>
        <family val="3"/>
        <charset val="128"/>
        <scheme val="minor"/>
      </rPr>
      <t>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播股份有限公司</t>
    </r>
  </si>
  <si>
    <r>
      <t>葡萄酒; 食用酒精; 蒸煮提取物（利口酒和烈酒）; 果酒（含酒精）;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</si>
  <si>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酒品人生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</si>
  <si>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州五星酒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茅台</t>
    </r>
    <r>
      <rPr>
        <sz val="11"/>
        <color theme="1"/>
        <rFont val="ＭＳ Ｐゴシック"/>
        <family val="3"/>
        <charset val="134"/>
        <scheme val="minor"/>
      </rPr>
      <t>镇</t>
    </r>
    <r>
      <rPr>
        <sz val="11"/>
        <color theme="1"/>
        <rFont val="ＭＳ Ｐゴシック"/>
        <family val="3"/>
        <charset val="128"/>
        <scheme val="minor"/>
      </rPr>
      <t>五星酒厂</t>
    </r>
  </si>
  <si>
    <r>
      <t xml:space="preserve">清酒（日本米酒）; 高粱酒; 白酒; 米酒; 梨酒;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</t>
    </r>
  </si>
  <si>
    <t>粹几 养</t>
  </si>
  <si>
    <t>田欣</t>
  </si>
  <si>
    <r>
      <t xml:space="preserve">青梅酒; 青稞酒;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汽酒; 果酒（含酒精）; 米酒; 白酒;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</si>
  <si>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众享</t>
    </r>
    <r>
      <rPr>
        <sz val="11"/>
        <color theme="1"/>
        <rFont val="ＭＳ Ｐゴシック"/>
        <family val="3"/>
        <charset val="134"/>
        <scheme val="minor"/>
      </rPr>
      <t>说</t>
    </r>
  </si>
  <si>
    <r>
      <t>北京</t>
    </r>
    <r>
      <rPr>
        <sz val="11"/>
        <color theme="1"/>
        <rFont val="ＭＳ Ｐゴシック"/>
        <family val="3"/>
        <charset val="134"/>
        <scheme val="minor"/>
      </rPr>
      <t>联</t>
    </r>
    <r>
      <rPr>
        <sz val="11"/>
        <color theme="1"/>
        <rFont val="ＭＳ Ｐゴシック"/>
        <family val="3"/>
        <charset val="128"/>
        <scheme val="minor"/>
      </rPr>
      <t>享网</t>
    </r>
    <r>
      <rPr>
        <sz val="11"/>
        <color theme="1"/>
        <rFont val="ＭＳ Ｐゴシック"/>
        <family val="3"/>
        <charset val="134"/>
        <scheme val="minor"/>
      </rPr>
      <t>络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</si>
  <si>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清酒; 黄酒; 伏特加酒;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</si>
  <si>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五太</t>
  </si>
  <si>
    <t>深圳市五太堂文化有限公司</t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</si>
  <si>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烈酒;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利口酒; 葡萄酒; 伏特加酒;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</t>
    </r>
  </si>
  <si>
    <t>HEINEKEN</t>
  </si>
  <si>
    <r>
      <t>喜力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酒厂有限公司</t>
    </r>
  </si>
  <si>
    <r>
      <t>单</t>
    </r>
    <r>
      <rPr>
        <sz val="11"/>
        <color theme="1"/>
        <rFont val="ＭＳ Ｐゴシック"/>
        <family val="3"/>
        <charset val="128"/>
        <scheme val="minor"/>
      </rPr>
      <t>家十八里</t>
    </r>
    <r>
      <rPr>
        <sz val="11"/>
        <color theme="1"/>
        <rFont val="ＭＳ Ｐゴシック"/>
        <family val="3"/>
        <charset val="134"/>
        <scheme val="minor"/>
      </rPr>
      <t>红</t>
    </r>
  </si>
  <si>
    <r>
      <t>单</t>
    </r>
    <r>
      <rPr>
        <sz val="11"/>
        <color theme="1"/>
        <rFont val="ＭＳ Ｐゴシック"/>
        <family val="3"/>
        <charset val="128"/>
        <scheme val="minor"/>
      </rPr>
      <t>既俊</t>
    </r>
  </si>
  <si>
    <r>
      <t xml:space="preserve">威士忌; 葡萄酒; 黄酒;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利口酒;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青稞酒</t>
    </r>
  </si>
  <si>
    <t>福周禄宗祥府禧</t>
  </si>
  <si>
    <r>
      <t>山西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泰房地</t>
    </r>
    <r>
      <rPr>
        <sz val="11"/>
        <color theme="1"/>
        <rFont val="ＭＳ Ｐゴシック"/>
        <family val="3"/>
        <charset val="134"/>
        <scheme val="minor"/>
      </rPr>
      <t>产</t>
    </r>
    <r>
      <rPr>
        <sz val="11"/>
        <color theme="1"/>
        <rFont val="ＭＳ Ｐゴシック"/>
        <family val="3"/>
        <charset val="128"/>
        <scheme val="minor"/>
      </rPr>
      <t>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</si>
  <si>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高粱酒; 白干酒（中国白酒）;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白酒;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</t>
    </r>
  </si>
  <si>
    <t>和井</t>
  </si>
  <si>
    <r>
      <t>清流</t>
    </r>
    <r>
      <rPr>
        <sz val="11"/>
        <color theme="1"/>
        <rFont val="ＭＳ Ｐゴシック"/>
        <family val="3"/>
        <charset val="134"/>
        <scheme val="minor"/>
      </rPr>
      <t>县龙</t>
    </r>
    <r>
      <rPr>
        <sz val="11"/>
        <color theme="1"/>
        <rFont val="ＭＳ Ｐゴシック"/>
        <family val="3"/>
        <charset val="128"/>
        <scheme val="minor"/>
      </rPr>
      <t>津</t>
    </r>
    <r>
      <rPr>
        <sz val="11"/>
        <color theme="1"/>
        <rFont val="ＭＳ Ｐゴシック"/>
        <family val="3"/>
        <charset val="134"/>
        <scheme val="minor"/>
      </rPr>
      <t>镇</t>
    </r>
    <r>
      <rPr>
        <sz val="11"/>
        <color theme="1"/>
        <rFont val="ＭＳ Ｐゴシック"/>
        <family val="3"/>
        <charset val="128"/>
        <scheme val="minor"/>
      </rPr>
      <t>中水百</t>
    </r>
    <r>
      <rPr>
        <sz val="11"/>
        <color theme="1"/>
        <rFont val="ＭＳ Ｐゴシック"/>
        <family val="3"/>
        <charset val="134"/>
        <scheme val="minor"/>
      </rPr>
      <t>货</t>
    </r>
    <r>
      <rPr>
        <sz val="11"/>
        <color theme="1"/>
        <rFont val="ＭＳ Ｐゴシック"/>
        <family val="3"/>
        <charset val="128"/>
        <scheme val="minor"/>
      </rPr>
      <t>商行</t>
    </r>
  </si>
  <si>
    <r>
      <t xml:space="preserve">日本梅子酒; 清酒;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果酒; 朗姆酒（酒精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开胃酒; 黄酒;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白酒</t>
    </r>
  </si>
  <si>
    <t>孝行者酒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</si>
  <si>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州孝行者酒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文化</t>
    </r>
    <r>
      <rPr>
        <sz val="11"/>
        <color theme="1"/>
        <rFont val="ＭＳ Ｐゴシック"/>
        <family val="3"/>
        <charset val="134"/>
        <scheme val="minor"/>
      </rPr>
      <t>销</t>
    </r>
    <r>
      <rPr>
        <sz val="11"/>
        <color theme="1"/>
        <rFont val="ＭＳ Ｐゴシック"/>
        <family val="3"/>
        <charset val="128"/>
        <scheme val="minor"/>
      </rPr>
      <t>售有限公司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</si>
  <si>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甘蔗制烈酒; 白酒; 果酒（含酒精）;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米酒</t>
    </r>
  </si>
  <si>
    <r>
      <t>大叔家</t>
    </r>
    <r>
      <rPr>
        <sz val="11"/>
        <color theme="1"/>
        <rFont val="ＭＳ Ｐゴシック"/>
        <family val="3"/>
        <charset val="134"/>
        <scheme val="minor"/>
      </rPr>
      <t>齐齐</t>
    </r>
    <r>
      <rPr>
        <sz val="11"/>
        <color theme="1"/>
        <rFont val="ＭＳ Ｐゴシック"/>
        <family val="3"/>
        <charset val="128"/>
        <scheme val="minor"/>
      </rPr>
      <t>哈</t>
    </r>
  </si>
  <si>
    <t>陈卫东</t>
  </si>
  <si>
    <r>
      <t xml:space="preserve">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酒（烈酒）; 甜果酒; 果酒; 黄酒; 果酒（含酒精）; 清酒; 白酒;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</si>
  <si>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北十七生</t>
  </si>
  <si>
    <r>
      <t>上海阿宝</t>
    </r>
    <r>
      <rPr>
        <sz val="11"/>
        <color theme="1"/>
        <rFont val="ＭＳ Ｐゴシック"/>
        <family val="3"/>
        <charset val="134"/>
        <scheme val="minor"/>
      </rPr>
      <t>实业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</si>
  <si>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加烈葡萄酒; 起泡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白葡萄酒; 白干酒（中国白酒）; 利口酒; 葡萄酒</t>
    </r>
  </si>
  <si>
    <r>
      <t>词</t>
    </r>
    <r>
      <rPr>
        <sz val="11"/>
        <color theme="1"/>
        <rFont val="ＭＳ Ｐゴシック"/>
        <family val="3"/>
        <charset val="128"/>
        <scheme val="minor"/>
      </rPr>
      <t>宗</t>
    </r>
  </si>
  <si>
    <r>
      <t>酒道抱朴酒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</si>
  <si>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白酒; 开胃酒; 清酒（日本米酒）; 青稞酒;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利口酒; 梨酒; 黄酒; 米酒</t>
    </r>
  </si>
  <si>
    <t>NUBEDICASA</t>
  </si>
  <si>
    <t>北京丰瑞鑫科技有限公司</t>
  </si>
  <si>
    <r>
      <t>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白葡萄酒; 白酒;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葡萄汽酒; 白干酒（中国白酒）; 烈性干酒; 威士忌</t>
    </r>
  </si>
  <si>
    <r>
      <t>铭</t>
    </r>
    <r>
      <rPr>
        <sz val="11"/>
        <color theme="1"/>
        <rFont val="ＭＳ Ｐゴシック"/>
        <family val="3"/>
        <charset val="128"/>
        <scheme val="minor"/>
      </rPr>
      <t>府</t>
    </r>
  </si>
  <si>
    <r>
      <t>美酒</t>
    </r>
    <r>
      <rPr>
        <sz val="11"/>
        <color theme="1"/>
        <rFont val="ＭＳ Ｐゴシック"/>
        <family val="3"/>
        <charset val="134"/>
        <scheme val="minor"/>
      </rPr>
      <t>满</t>
    </r>
    <r>
      <rPr>
        <sz val="11"/>
        <color theme="1"/>
        <rFont val="ＭＳ Ｐゴシック"/>
        <family val="3"/>
        <charset val="128"/>
        <scheme val="minor"/>
      </rPr>
      <t>堂有限公司</t>
    </r>
  </si>
  <si>
    <r>
      <t>清酒（日本米酒）; 葡萄酒; 黄酒;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青稞酒; 利口酒;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</t>
    </r>
  </si>
  <si>
    <t>奉内秘窖</t>
  </si>
  <si>
    <r>
      <t>王</t>
    </r>
    <r>
      <rPr>
        <sz val="11"/>
        <color theme="1"/>
        <rFont val="ＭＳ Ｐゴシック"/>
        <family val="3"/>
        <charset val="134"/>
        <scheme val="minor"/>
      </rPr>
      <t>宪</t>
    </r>
    <r>
      <rPr>
        <sz val="11"/>
        <color theme="1"/>
        <rFont val="ＭＳ Ｐゴシック"/>
        <family val="3"/>
        <charset val="128"/>
        <scheme val="minor"/>
      </rPr>
      <t>杰</t>
    </r>
  </si>
  <si>
    <r>
      <t>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白酒; 黄酒; 果酒; 烈酒;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</si>
  <si>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礼掌柜</t>
  </si>
  <si>
    <r>
      <t xml:space="preserve">利口酒; 清酒（日本米酒）; 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青稞酒; 开胃酒; 葡萄酒; 梨酒; 白酒</t>
    </r>
  </si>
  <si>
    <t>江北水城</t>
  </si>
  <si>
    <r>
      <t>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慈母湖文化旅游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</si>
  <si>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白酒; 梨酒; 食用酒精; 开胃酒; 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葡萄酒; 蜂蜜酒;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 xml:space="preserve">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</si>
  <si>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果然甘</t>
  </si>
  <si>
    <r>
      <t>广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省</t>
    </r>
    <r>
      <rPr>
        <sz val="11"/>
        <color theme="1"/>
        <rFont val="ＭＳ Ｐゴシック"/>
        <family val="3"/>
        <charset val="134"/>
        <scheme val="minor"/>
      </rPr>
      <t>艺</t>
    </r>
    <r>
      <rPr>
        <sz val="11"/>
        <color theme="1"/>
        <rFont val="ＭＳ Ｐゴシック"/>
        <family val="3"/>
        <charset val="128"/>
        <scheme val="minor"/>
      </rPr>
      <t>杰</t>
    </r>
    <r>
      <rPr>
        <sz val="11"/>
        <color theme="1"/>
        <rFont val="ＭＳ Ｐゴシック"/>
        <family val="3"/>
        <charset val="134"/>
        <scheme val="minor"/>
      </rPr>
      <t>农业发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</si>
  <si>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果酒（含酒精）;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米酒;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 xml:space="preserve">汁;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苹果酒</t>
    </r>
  </si>
  <si>
    <r>
      <t>指中</t>
    </r>
    <r>
      <rPr>
        <sz val="11"/>
        <color theme="1"/>
        <rFont val="ＭＳ Ｐゴシック"/>
        <family val="3"/>
        <charset val="134"/>
        <scheme val="minor"/>
      </rPr>
      <t>岁</t>
    </r>
    <r>
      <rPr>
        <sz val="11"/>
        <color theme="1"/>
        <rFont val="ＭＳ Ｐゴシック"/>
        <family val="3"/>
        <charset val="128"/>
        <scheme val="minor"/>
      </rPr>
      <t>月</t>
    </r>
  </si>
  <si>
    <r>
      <t>云南</t>
    </r>
    <r>
      <rPr>
        <sz val="11"/>
        <color theme="1"/>
        <rFont val="ＭＳ Ｐゴシック"/>
        <family val="3"/>
        <charset val="134"/>
        <scheme val="minor"/>
      </rPr>
      <t>华泽贸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</si>
  <si>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果酒（含酒精）; 白酒; 黄酒; 开胃酒;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食用酒精; 米酒;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</si>
  <si>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彝号</t>
    </r>
    <r>
      <rPr>
        <sz val="11"/>
        <color theme="1"/>
        <rFont val="ＭＳ Ｐゴシック"/>
        <family val="3"/>
        <charset val="134"/>
        <scheme val="minor"/>
      </rPr>
      <t>馆</t>
    </r>
    <r>
      <rPr>
        <sz val="11"/>
        <color theme="1"/>
        <rFont val="ＭＳ Ｐゴシック"/>
        <family val="3"/>
        <charset val="128"/>
        <scheme val="minor"/>
      </rPr>
      <t xml:space="preserve"> 美食</t>
    </r>
  </si>
  <si>
    <r>
      <t>凉山昭</t>
    </r>
    <r>
      <rPr>
        <sz val="11"/>
        <color theme="1"/>
        <rFont val="ＭＳ Ｐゴシック"/>
        <family val="3"/>
        <charset val="134"/>
        <scheme val="minor"/>
      </rPr>
      <t>觉县</t>
    </r>
    <r>
      <rPr>
        <sz val="11"/>
        <color theme="1"/>
        <rFont val="ＭＳ Ｐゴシック"/>
        <family val="3"/>
        <charset val="128"/>
        <scheme val="minor"/>
      </rPr>
      <t>谷莫生</t>
    </r>
    <r>
      <rPr>
        <sz val="11"/>
        <color theme="1"/>
        <rFont val="ＭＳ Ｐゴシック"/>
        <family val="3"/>
        <charset val="134"/>
        <scheme val="minor"/>
      </rPr>
      <t>态农业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</si>
  <si>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苦味酒;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薄荷酒; 白酒</t>
    </r>
  </si>
  <si>
    <t>SHUANGJIANSHUO</t>
  </si>
  <si>
    <r>
      <t>荆</t>
    </r>
    <r>
      <rPr>
        <sz val="11"/>
        <color theme="1"/>
        <rFont val="ＭＳ Ｐゴシック"/>
        <family val="3"/>
        <charset val="128"/>
        <scheme val="minor"/>
      </rPr>
      <t>州市爽健</t>
    </r>
    <r>
      <rPr>
        <sz val="11"/>
        <color theme="1"/>
        <rFont val="ＭＳ Ｐゴシック"/>
        <family val="3"/>
        <charset val="134"/>
        <scheme val="minor"/>
      </rPr>
      <t>硕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</si>
  <si>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开胃酒; 苹果酒; 黄酒; 青稞酒; 葡萄酒;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</si>
  <si>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汉</t>
    </r>
    <r>
      <rPr>
        <sz val="11"/>
        <color theme="1"/>
        <rFont val="ＭＳ Ｐゴシック"/>
        <family val="3"/>
        <charset val="128"/>
        <scheme val="minor"/>
      </rPr>
      <t>嫡金窖</t>
    </r>
  </si>
  <si>
    <r>
      <t>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</si>
  <si>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酉美人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</si>
  <si>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州酉心酒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</si>
  <si>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高粱酒; 甜酒; 清酒; 果酒; 露酒; 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天然汽酒;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白酒</t>
    </r>
  </si>
  <si>
    <r>
      <t>西域卡</t>
    </r>
    <r>
      <rPr>
        <sz val="11"/>
        <color theme="1"/>
        <rFont val="ＭＳ Ｐゴシック"/>
        <family val="3"/>
        <charset val="134"/>
        <scheme val="minor"/>
      </rPr>
      <t>伦</t>
    </r>
  </si>
  <si>
    <r>
      <t>伊犁源品千</t>
    </r>
    <r>
      <rPr>
        <sz val="11"/>
        <color theme="1"/>
        <rFont val="ＭＳ Ｐゴシック"/>
        <family val="3"/>
        <charset val="134"/>
        <scheme val="minor"/>
      </rPr>
      <t>伦</t>
    </r>
    <r>
      <rPr>
        <sz val="11"/>
        <color theme="1"/>
        <rFont val="ＭＳ Ｐゴシック"/>
        <family val="3"/>
        <charset val="128"/>
        <scheme val="minor"/>
      </rPr>
      <t>食品商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</si>
  <si>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葡萄酒; 黄酒; 白酒</t>
    </r>
  </si>
  <si>
    <t>遮秕坊</t>
  </si>
  <si>
    <r>
      <t>文安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智哲研究工作室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</si>
  <si>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薄荷酒; 果酒（含酒精）; 苹果酒; 葡萄酒; 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</si>
  <si>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 xml:space="preserve">FREE FLOW BAR </t>
    </r>
    <r>
      <rPr>
        <sz val="11"/>
        <color theme="1"/>
        <rFont val="ＭＳ Ｐゴシック"/>
        <family val="3"/>
        <charset val="134"/>
        <scheme val="minor"/>
      </rPr>
      <t>归</t>
    </r>
    <r>
      <rPr>
        <sz val="11"/>
        <color theme="1"/>
        <rFont val="ＭＳ Ｐゴシック"/>
        <family val="3"/>
        <charset val="128"/>
        <scheme val="minor"/>
      </rPr>
      <t>昼</t>
    </r>
  </si>
  <si>
    <r>
      <t>甘南</t>
    </r>
    <r>
      <rPr>
        <sz val="11"/>
        <color theme="1"/>
        <rFont val="ＭＳ Ｐゴシック"/>
        <family val="3"/>
        <charset val="134"/>
        <scheme val="minor"/>
      </rPr>
      <t>县归</t>
    </r>
    <r>
      <rPr>
        <sz val="11"/>
        <color theme="1"/>
        <rFont val="ＭＳ Ｐゴシック"/>
        <family val="3"/>
        <charset val="128"/>
        <scheme val="minor"/>
      </rPr>
      <t>昼音</t>
    </r>
    <r>
      <rPr>
        <sz val="11"/>
        <color theme="1"/>
        <rFont val="ＭＳ Ｐゴシック"/>
        <family val="3"/>
        <charset val="134"/>
        <scheme val="minor"/>
      </rPr>
      <t>乐</t>
    </r>
    <r>
      <rPr>
        <sz val="11"/>
        <color theme="1"/>
        <rFont val="ＭＳ Ｐゴシック"/>
        <family val="3"/>
        <charset val="128"/>
        <scheme val="minor"/>
      </rPr>
      <t>酒吧（个人独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）</t>
    </r>
  </si>
  <si>
    <r>
      <t xml:space="preserve">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清酒（日本米酒）;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伏特加酒</t>
    </r>
  </si>
  <si>
    <t>酒三娘</t>
  </si>
  <si>
    <r>
      <t>湖北省酒三娘酒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</si>
  <si>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蒸煮提取物（利口酒和烈酒）;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蜂蜜酒; 白酒; 黄酒; 葡萄酒; 果酒（含酒精）; 食用酒精</t>
    </r>
  </si>
  <si>
    <r>
      <t>东</t>
    </r>
    <r>
      <rPr>
        <sz val="11"/>
        <color theme="1"/>
        <rFont val="ＭＳ Ｐゴシック"/>
        <family val="3"/>
        <charset val="128"/>
        <scheme val="minor"/>
      </rPr>
      <t>福</t>
    </r>
    <r>
      <rPr>
        <sz val="11"/>
        <color theme="1"/>
        <rFont val="ＭＳ Ｐゴシック"/>
        <family val="3"/>
        <charset val="134"/>
        <scheme val="minor"/>
      </rPr>
      <t>乡</t>
    </r>
    <r>
      <rPr>
        <sz val="11"/>
        <color theme="1"/>
        <rFont val="ＭＳ Ｐゴシック"/>
        <family val="3"/>
        <charset val="128"/>
        <scheme val="minor"/>
      </rPr>
      <t>瑞得</t>
    </r>
  </si>
  <si>
    <t>解西明</t>
  </si>
  <si>
    <r>
      <t>汽酒; 食用酒精;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白干酒（中国白酒）; 高粱酒;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果酒; 米酒; 白酒</t>
    </r>
  </si>
  <si>
    <r>
      <t>熵</t>
    </r>
    <r>
      <rPr>
        <sz val="11"/>
        <color theme="1"/>
        <rFont val="ＭＳ Ｐゴシック"/>
        <family val="3"/>
        <charset val="134"/>
        <scheme val="minor"/>
      </rPr>
      <t>隐</t>
    </r>
    <r>
      <rPr>
        <sz val="11"/>
        <color theme="1"/>
        <rFont val="ＭＳ Ｐゴシック"/>
        <family val="3"/>
        <charset val="128"/>
        <scheme val="minor"/>
      </rPr>
      <t>醒</t>
    </r>
  </si>
  <si>
    <r>
      <t>海南星</t>
    </r>
    <r>
      <rPr>
        <sz val="11"/>
        <color theme="1"/>
        <rFont val="ＭＳ Ｐゴシック"/>
        <family val="3"/>
        <charset val="134"/>
        <scheme val="minor"/>
      </rPr>
      <t>亚</t>
    </r>
    <r>
      <rPr>
        <sz val="11"/>
        <color theme="1"/>
        <rFont val="ＭＳ Ｐゴシック"/>
        <family val="3"/>
        <charset val="128"/>
        <scheme val="minor"/>
      </rPr>
      <t>旅游开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</si>
  <si>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米酒; 白酒;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白干酒（中国白酒）; 高粱酒;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酒; 黄酒; 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</si>
  <si>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t>THIEM MANOR</t>
  </si>
  <si>
    <r>
      <t>潍</t>
    </r>
    <r>
      <rPr>
        <sz val="11"/>
        <color theme="1"/>
        <rFont val="ＭＳ Ｐゴシック"/>
        <family val="3"/>
        <charset val="128"/>
        <scheme val="minor"/>
      </rPr>
      <t>坊</t>
    </r>
    <r>
      <rPr>
        <sz val="11"/>
        <color theme="1"/>
        <rFont val="ＭＳ Ｐゴシック"/>
        <family val="3"/>
        <charset val="134"/>
        <scheme val="minor"/>
      </rPr>
      <t>亿</t>
    </r>
    <r>
      <rPr>
        <sz val="11"/>
        <color theme="1"/>
        <rFont val="ＭＳ Ｐゴシック"/>
        <family val="3"/>
        <charset val="128"/>
        <scheme val="minor"/>
      </rPr>
      <t>隆酒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</si>
  <si>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加烈葡萄酒; 威末酒; 清酒; 杜松子酒; 茴香酒; 威士忌; 伏特加酒; 利口酒; 朗姆酒;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</si>
  <si>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鹿圣泉玖</t>
  </si>
  <si>
    <r>
      <t>长</t>
    </r>
    <r>
      <rPr>
        <sz val="11"/>
        <color theme="1"/>
        <rFont val="ＭＳ Ｐゴシック"/>
        <family val="3"/>
        <charset val="128"/>
        <scheme val="minor"/>
      </rPr>
      <t>春德隆堂生物科技有限公司</t>
    </r>
  </si>
  <si>
    <r>
      <t xml:space="preserve">黄酒; 米酒;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高粱酒;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</si>
  <si>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XIAO YAO CHUN QIU</t>
  </si>
  <si>
    <r>
      <t>诗</t>
    </r>
    <r>
      <rPr>
        <sz val="11"/>
        <color theme="1"/>
        <rFont val="ＭＳ Ｐゴシック"/>
        <family val="3"/>
        <charset val="128"/>
        <scheme val="minor"/>
      </rPr>
      <t>礼春秋（北京）文化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媒有限公司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</si>
  <si>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清酒; 烈酒;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米酒（泡盛酒）; 白酒;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高粱酒; 甜酒; 黄酒</t>
    </r>
  </si>
  <si>
    <t>刘会</t>
  </si>
  <si>
    <r>
      <t>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露酒; 米酒; 白酒; 苹果酒; 葡萄酒;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餐后酒（利口酒和烈酒）</t>
    </r>
  </si>
  <si>
    <t>众得厚品</t>
  </si>
  <si>
    <r>
      <t>天津市和源众香商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</si>
  <si>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黄酒; 葡萄酒; 汽酒; 果酒; 伏特加酒;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白酒; 烈酒; 高粱酒</t>
    </r>
  </si>
  <si>
    <r>
      <t>黔</t>
    </r>
    <r>
      <rPr>
        <sz val="11"/>
        <color theme="1"/>
        <rFont val="ＭＳ Ｐゴシック"/>
        <family val="3"/>
        <charset val="134"/>
        <scheme val="minor"/>
      </rPr>
      <t>赣</t>
    </r>
    <r>
      <rPr>
        <sz val="11"/>
        <color theme="1"/>
        <rFont val="ＭＳ Ｐゴシック"/>
        <family val="3"/>
        <charset val="128"/>
        <scheme val="minor"/>
      </rPr>
      <t>相聚酒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</si>
  <si>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</t>
    </r>
    <r>
      <rPr>
        <sz val="11"/>
        <color theme="1"/>
        <rFont val="ＭＳ Ｐゴシック"/>
        <family val="3"/>
        <charset val="134"/>
        <scheme val="minor"/>
      </rPr>
      <t>汉</t>
    </r>
    <r>
      <rPr>
        <sz val="11"/>
        <color theme="1"/>
        <rFont val="ＭＳ Ｐゴシック"/>
        <family val="3"/>
        <charset val="128"/>
        <scheme val="minor"/>
      </rPr>
      <t>世台酒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</si>
  <si>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高粱酒; 白酒; 葡萄酒; 白干酒（中国白酒）;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烈酒;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</si>
  <si>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范九江</t>
  </si>
  <si>
    <r>
      <t>三河市小范酒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商行</t>
    </r>
  </si>
  <si>
    <r>
      <t>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白干酒（中国白酒）; 黄酒; 青稞酒; 白酒; 米酒</t>
    </r>
  </si>
  <si>
    <r>
      <t>众得</t>
    </r>
    <r>
      <rPr>
        <sz val="11"/>
        <color theme="1"/>
        <rFont val="ＭＳ Ｐゴシック"/>
        <family val="3"/>
        <charset val="134"/>
        <scheme val="minor"/>
      </rPr>
      <t>硕</t>
    </r>
  </si>
  <si>
    <r>
      <t>米酒; 汽酒; 葡萄酒; 伏特加酒;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烈酒; 果酒; 高粱酒; 白酒</t>
    </r>
  </si>
  <si>
    <r>
      <t>果酒（含酒精）; 白酒;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餐后酒（利口酒和烈酒）; 苹果酒;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露酒</t>
    </r>
  </si>
  <si>
    <r>
      <t>吟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涎</t>
    </r>
  </si>
  <si>
    <r>
      <t>中</t>
    </r>
    <r>
      <rPr>
        <sz val="11"/>
        <color theme="1"/>
        <rFont val="ＭＳ Ｐゴシック"/>
        <family val="3"/>
        <charset val="134"/>
        <scheme val="minor"/>
      </rPr>
      <t>扬</t>
    </r>
    <r>
      <rPr>
        <sz val="11"/>
        <color theme="1"/>
        <rFont val="ＭＳ Ｐゴシック"/>
        <family val="3"/>
        <charset val="128"/>
        <scheme val="minor"/>
      </rPr>
      <t>泓达信息科技集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</si>
  <si>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果酒; 黄酒; 甜酒; 清酒;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白干酒（中国白酒）</t>
    </r>
  </si>
  <si>
    <r>
      <t>黔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名</t>
    </r>
  </si>
  <si>
    <r>
      <t>骆</t>
    </r>
    <r>
      <rPr>
        <sz val="11"/>
        <color theme="1"/>
        <rFont val="ＭＳ Ｐゴシック"/>
        <family val="3"/>
        <charset val="128"/>
        <scheme val="minor"/>
      </rPr>
      <t>科其</t>
    </r>
  </si>
  <si>
    <r>
      <t>高粱酒; 葡萄酒;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白干酒（中国白酒）;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果酒; 烈酒;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</si>
  <si>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臻金王冠</t>
  </si>
  <si>
    <r>
      <t>汉诺</t>
    </r>
    <r>
      <rPr>
        <sz val="11"/>
        <color theme="1"/>
        <rFont val="ＭＳ Ｐゴシック"/>
        <family val="3"/>
        <charset val="128"/>
        <scheme val="minor"/>
      </rPr>
      <t>雷斯（广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）科技研究院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</si>
  <si>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汽酒; 清酒（日本米酒）; 米酒; 葡萄酒; 白酒; 果酒（含酒精）; 青稞酒; 柑香酒; 黄酒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</si>
  <si>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养天下</t>
    </r>
  </si>
  <si>
    <r>
      <t>黄</t>
    </r>
    <r>
      <rPr>
        <sz val="11"/>
        <color theme="1"/>
        <rFont val="ＭＳ Ｐゴシック"/>
        <family val="3"/>
        <charset val="134"/>
        <scheme val="minor"/>
      </rPr>
      <t>爱东</t>
    </r>
  </si>
  <si>
    <r>
      <t xml:space="preserve">清酒; 米酒; 食用酒精; 白干酒（中国白酒）; 黄酒; 果酒（含酒精）;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青稞酒;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</si>
  <si>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t>康心</t>
  </si>
  <si>
    <r>
      <t>王好</t>
    </r>
    <r>
      <rPr>
        <sz val="11"/>
        <color theme="1"/>
        <rFont val="ＭＳ Ｐゴシック"/>
        <family val="3"/>
        <charset val="134"/>
        <scheme val="minor"/>
      </rPr>
      <t>锋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</si>
  <si>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白酒; 青稞酒; 黄酒; 高粱酒; 烈酒; 葡萄酒; 米酒;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</si>
  <si>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鲜</t>
    </r>
    <r>
      <rPr>
        <sz val="11"/>
        <color theme="1"/>
        <rFont val="ＭＳ Ｐゴシック"/>
        <family val="3"/>
        <charset val="128"/>
        <scheme val="minor"/>
      </rPr>
      <t>炉壹品</t>
    </r>
  </si>
  <si>
    <r>
      <t>上海</t>
    </r>
    <r>
      <rPr>
        <sz val="11"/>
        <color theme="1"/>
        <rFont val="ＭＳ Ｐゴシック"/>
        <family val="3"/>
        <charset val="134"/>
        <scheme val="minor"/>
      </rPr>
      <t>鲜</t>
    </r>
    <r>
      <rPr>
        <sz val="11"/>
        <color theme="1"/>
        <rFont val="ＭＳ Ｐゴシック"/>
        <family val="3"/>
        <charset val="128"/>
        <scheme val="minor"/>
      </rPr>
      <t>聚国</t>
    </r>
    <r>
      <rPr>
        <sz val="11"/>
        <color theme="1"/>
        <rFont val="ＭＳ Ｐゴシック"/>
        <family val="3"/>
        <charset val="134"/>
        <scheme val="minor"/>
      </rPr>
      <t>际贸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</si>
  <si>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青稞酒; 甜果酒; 米酒;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白酒; 蜂蜜酒;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</si>
  <si>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众得本</t>
  </si>
  <si>
    <r>
      <t>葡萄酒;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汽酒; 果酒; 伏特加酒; 白酒; 黄酒; 烈酒; 高粱酒; 米酒</t>
    </r>
  </si>
  <si>
    <r>
      <t>鑫</t>
    </r>
    <r>
      <rPr>
        <sz val="11"/>
        <color theme="1"/>
        <rFont val="ＭＳ Ｐゴシック"/>
        <family val="3"/>
        <charset val="134"/>
        <scheme val="minor"/>
      </rPr>
      <t>罗</t>
    </r>
    <r>
      <rPr>
        <sz val="11"/>
        <color theme="1"/>
        <rFont val="ＭＳ Ｐゴシック"/>
        <family val="3"/>
        <charset val="128"/>
        <scheme val="minor"/>
      </rPr>
      <t>斯 BCE BORATCTBA PYCH</t>
    </r>
  </si>
  <si>
    <r>
      <t>黑河市鑫</t>
    </r>
    <r>
      <rPr>
        <sz val="11"/>
        <color theme="1"/>
        <rFont val="ＭＳ Ｐゴシック"/>
        <family val="3"/>
        <charset val="134"/>
        <scheme val="minor"/>
      </rPr>
      <t>罗</t>
    </r>
    <r>
      <rPr>
        <sz val="11"/>
        <color theme="1"/>
        <rFont val="ＭＳ Ｐゴシック"/>
        <family val="3"/>
        <charset val="128"/>
        <scheme val="minor"/>
      </rPr>
      <t>斯</t>
    </r>
    <r>
      <rPr>
        <sz val="11"/>
        <color theme="1"/>
        <rFont val="ＭＳ Ｐゴシック"/>
        <family val="3"/>
        <charset val="134"/>
        <scheme val="minor"/>
      </rPr>
      <t>经贸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</si>
  <si>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汽酒; 白酒;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蜂蜜酒;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青稞酒; 伏特加酒</t>
    </r>
  </si>
  <si>
    <r>
      <t>保定金</t>
    </r>
    <r>
      <rPr>
        <sz val="11"/>
        <color theme="1"/>
        <rFont val="ＭＳ Ｐゴシック"/>
        <family val="3"/>
        <charset val="134"/>
        <scheme val="minor"/>
      </rPr>
      <t>奖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</si>
  <si>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白酒;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青稞酒; 葡萄酒; 清酒（日本米酒）; 果酒（含酒精）</t>
    </r>
  </si>
  <si>
    <r>
      <t>合</t>
    </r>
    <r>
      <rPr>
        <sz val="11"/>
        <color theme="1"/>
        <rFont val="ＭＳ Ｐゴシック"/>
        <family val="3"/>
        <charset val="134"/>
        <scheme val="minor"/>
      </rPr>
      <t>硕</t>
    </r>
    <r>
      <rPr>
        <sz val="11"/>
        <color theme="1"/>
        <rFont val="ＭＳ Ｐゴシック"/>
        <family val="3"/>
        <charset val="128"/>
        <scheme val="minor"/>
      </rPr>
      <t>特·昆</t>
    </r>
    <r>
      <rPr>
        <sz val="11"/>
        <color theme="1"/>
        <rFont val="ＭＳ Ｐゴシック"/>
        <family val="3"/>
        <charset val="134"/>
        <scheme val="minor"/>
      </rPr>
      <t>鹅</t>
    </r>
  </si>
  <si>
    <r>
      <t>和</t>
    </r>
    <r>
      <rPr>
        <sz val="11"/>
        <color theme="1"/>
        <rFont val="ＭＳ Ｐゴシック"/>
        <family val="3"/>
        <charset val="134"/>
        <scheme val="minor"/>
      </rPr>
      <t>硕县</t>
    </r>
    <r>
      <rPr>
        <sz val="11"/>
        <color theme="1"/>
        <rFont val="ＭＳ Ｐゴシック"/>
        <family val="3"/>
        <charset val="128"/>
        <scheme val="minor"/>
      </rPr>
      <t>合</t>
    </r>
    <r>
      <rPr>
        <sz val="11"/>
        <color theme="1"/>
        <rFont val="ＭＳ Ｐゴシック"/>
        <family val="3"/>
        <charset val="134"/>
        <scheme val="minor"/>
      </rPr>
      <t>硕</t>
    </r>
    <r>
      <rPr>
        <sz val="11"/>
        <color theme="1"/>
        <rFont val="ＭＳ Ｐゴシック"/>
        <family val="3"/>
        <charset val="128"/>
        <scheme val="minor"/>
      </rPr>
      <t>特酒庄有限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</si>
  <si>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桃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利口酒;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汽酒;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果酒; 烈酒</t>
    </r>
  </si>
  <si>
    <r>
      <t>神</t>
    </r>
    <r>
      <rPr>
        <sz val="11"/>
        <color theme="1"/>
        <rFont val="ＭＳ Ｐゴシック"/>
        <family val="3"/>
        <charset val="134"/>
        <scheme val="minor"/>
      </rPr>
      <t>农药</t>
    </r>
    <r>
      <rPr>
        <sz val="11"/>
        <color theme="1"/>
        <rFont val="ＭＳ Ｐゴシック"/>
        <family val="3"/>
        <charset val="128"/>
        <scheme val="minor"/>
      </rPr>
      <t>都</t>
    </r>
  </si>
  <si>
    <r>
      <t>安仁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大源投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</si>
  <si>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食用酒精;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白酒; 开胃酒; 清酒; 果酒;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</si>
  <si>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遵十五</t>
  </si>
  <si>
    <r>
      <t>杨</t>
    </r>
    <r>
      <rPr>
        <sz val="11"/>
        <color theme="1"/>
        <rFont val="ＭＳ Ｐゴシック"/>
        <family val="3"/>
        <charset val="128"/>
        <scheme val="minor"/>
      </rPr>
      <t>明</t>
    </r>
    <r>
      <rPr>
        <sz val="11"/>
        <color theme="1"/>
        <rFont val="ＭＳ Ｐゴシック"/>
        <family val="3"/>
        <charset val="134"/>
        <scheme val="minor"/>
      </rPr>
      <t>举</t>
    </r>
  </si>
  <si>
    <r>
      <t xml:space="preserve">蒸煮提取物（利口酒和烈酒）;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蜂蜜酒; 葡萄酒;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</t>
    </r>
  </si>
  <si>
    <r>
      <t>禄</t>
    </r>
    <r>
      <rPr>
        <sz val="11"/>
        <color theme="1"/>
        <rFont val="ＭＳ Ｐゴシック"/>
        <family val="3"/>
        <charset val="134"/>
        <scheme val="minor"/>
      </rPr>
      <t>贞</t>
    </r>
  </si>
  <si>
    <r>
      <t>绍兴</t>
    </r>
    <r>
      <rPr>
        <sz val="11"/>
        <color theme="1"/>
        <rFont val="ＭＳ Ｐゴシック"/>
        <family val="3"/>
        <charset val="128"/>
        <scheme val="minor"/>
      </rPr>
      <t>市广</t>
    </r>
    <r>
      <rPr>
        <sz val="11"/>
        <color theme="1"/>
        <rFont val="ＭＳ Ｐゴシック"/>
        <family val="3"/>
        <charset val="134"/>
        <scheme val="minor"/>
      </rPr>
      <t>纶纺织</t>
    </r>
    <r>
      <rPr>
        <sz val="11"/>
        <color theme="1"/>
        <rFont val="ＭＳ Ｐゴシック"/>
        <family val="3"/>
        <charset val="128"/>
        <scheme val="minor"/>
      </rPr>
      <t>品有限公司</t>
    </r>
  </si>
  <si>
    <r>
      <t xml:space="preserve">葡萄酒; 米酒; 伏特加酒; 蒸煮提取物（利口酒和烈酒）;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</si>
  <si>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贝</t>
    </r>
    <r>
      <rPr>
        <sz val="11"/>
        <color theme="1"/>
        <rFont val="ＭＳ Ｐゴシック"/>
        <family val="3"/>
        <charset val="128"/>
        <scheme val="minor"/>
      </rPr>
      <t>洛特</t>
    </r>
  </si>
  <si>
    <r>
      <t>安徽天澳</t>
    </r>
    <r>
      <rPr>
        <sz val="11"/>
        <color theme="1"/>
        <rFont val="ＭＳ Ｐゴシック"/>
        <family val="3"/>
        <charset val="134"/>
        <scheme val="minor"/>
      </rPr>
      <t>进</t>
    </r>
    <r>
      <rPr>
        <sz val="11"/>
        <color theme="1"/>
        <rFont val="ＭＳ Ｐゴシック"/>
        <family val="3"/>
        <charset val="128"/>
        <scheme val="minor"/>
      </rPr>
      <t>出口有限公司</t>
    </r>
  </si>
  <si>
    <r>
      <t>葡萄酒; 白酒; 烈酒;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蒸煮提取物（利口酒和烈酒）; 果酒; 黄酒</t>
    </r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</si>
  <si>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开胃酒;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果酒; 黄酒; 食用酒精; 清酒</t>
    </r>
  </si>
  <si>
    <t>QMH</t>
  </si>
  <si>
    <r>
      <t>周</t>
    </r>
    <r>
      <rPr>
        <sz val="11"/>
        <color theme="1"/>
        <rFont val="ＭＳ Ｐゴシック"/>
        <family val="3"/>
        <charset val="134"/>
        <scheme val="minor"/>
      </rPr>
      <t>鲁</t>
    </r>
    <r>
      <rPr>
        <sz val="11"/>
        <color theme="1"/>
        <rFont val="ＭＳ Ｐゴシック"/>
        <family val="3"/>
        <charset val="128"/>
        <scheme val="minor"/>
      </rPr>
      <t>羲</t>
    </r>
  </si>
  <si>
    <r>
      <t xml:space="preserve">米酒; 甜酒;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梨酒;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黄酒</t>
    </r>
  </si>
  <si>
    <r>
      <t>贺兰</t>
    </r>
    <r>
      <rPr>
        <sz val="11"/>
        <color theme="1"/>
        <rFont val="ＭＳ Ｐゴシック"/>
        <family val="3"/>
        <charset val="128"/>
        <scheme val="minor"/>
      </rPr>
      <t>岭</t>
    </r>
  </si>
  <si>
    <r>
      <t>成都品茗酒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</si>
  <si>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苹果酒;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葡萄酒; 清酒（日本米酒）; 果酒（含酒精）; 利口酒; 白酒</t>
    </r>
  </si>
  <si>
    <r>
      <t>华问</t>
    </r>
    <r>
      <rPr>
        <sz val="11"/>
        <color theme="1"/>
        <rFont val="ＭＳ Ｐゴシック"/>
        <family val="3"/>
        <charset val="128"/>
        <scheme val="minor"/>
      </rPr>
      <t>福</t>
    </r>
  </si>
  <si>
    <r>
      <t>罗</t>
    </r>
    <r>
      <rPr>
        <sz val="11"/>
        <color theme="1"/>
        <rFont val="ＭＳ Ｐゴシック"/>
        <family val="3"/>
        <charset val="128"/>
        <scheme val="minor"/>
      </rPr>
      <t>磊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</si>
  <si>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果酒; 葡萄酒; 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</t>
    </r>
  </si>
  <si>
    <r>
      <t>爱</t>
    </r>
    <r>
      <rPr>
        <sz val="11"/>
        <color theme="1"/>
        <rFont val="ＭＳ Ｐゴシック"/>
        <family val="3"/>
        <charset val="128"/>
        <scheme val="minor"/>
      </rPr>
      <t>睦家</t>
    </r>
  </si>
  <si>
    <r>
      <t>宁波盛唐基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股</t>
    </r>
    <r>
      <rPr>
        <sz val="11"/>
        <color theme="1"/>
        <rFont val="ＭＳ Ｐゴシック"/>
        <family val="3"/>
        <charset val="134"/>
        <scheme val="minor"/>
      </rPr>
      <t>权</t>
    </r>
    <r>
      <rPr>
        <sz val="11"/>
        <color theme="1"/>
        <rFont val="ＭＳ Ｐゴシック"/>
        <family val="3"/>
        <charset val="128"/>
        <scheme val="minor"/>
      </rPr>
      <t>投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</si>
  <si>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 xml:space="preserve">露酒;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梅酒; 甜酒; 高粱酒; 梅酒; 果酒; 烈酒; 青梅酒; 起泡白葡萄酒</t>
    </r>
  </si>
  <si>
    <r>
      <t>汉</t>
    </r>
    <r>
      <rPr>
        <sz val="11"/>
        <color theme="1"/>
        <rFont val="ＭＳ Ｐゴシック"/>
        <family val="3"/>
        <charset val="128"/>
        <scheme val="minor"/>
      </rPr>
      <t>樽古洋州</t>
    </r>
  </si>
  <si>
    <r>
      <t>陕</t>
    </r>
    <r>
      <rPr>
        <sz val="11"/>
        <color theme="1"/>
        <rFont val="ＭＳ Ｐゴシック"/>
        <family val="3"/>
        <charset val="128"/>
        <scheme val="minor"/>
      </rPr>
      <t>西</t>
    </r>
    <r>
      <rPr>
        <sz val="11"/>
        <color theme="1"/>
        <rFont val="ＭＳ Ｐゴシック"/>
        <family val="3"/>
        <charset val="134"/>
        <scheme val="minor"/>
      </rPr>
      <t>汉</t>
    </r>
    <r>
      <rPr>
        <sz val="11"/>
        <color theme="1"/>
        <rFont val="ＭＳ Ｐゴシック"/>
        <family val="3"/>
        <charset val="128"/>
        <scheme val="minor"/>
      </rPr>
      <t>樽酒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</si>
  <si>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黄酒; 果酒（含酒精）; 食用酒精; 开胃酒; 青梅酒;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白酒;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</si>
  <si>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r>
      <t>云上小</t>
    </r>
    <r>
      <rPr>
        <sz val="11"/>
        <color theme="1"/>
        <rFont val="ＭＳ Ｐゴシック"/>
        <family val="3"/>
        <charset val="134"/>
        <scheme val="minor"/>
      </rPr>
      <t>树</t>
    </r>
  </si>
  <si>
    <r>
      <t>广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云上小</t>
    </r>
    <r>
      <rPr>
        <sz val="11"/>
        <color theme="1"/>
        <rFont val="ＭＳ Ｐゴシック"/>
        <family val="3"/>
        <charset val="134"/>
        <scheme val="minor"/>
      </rPr>
      <t>树</t>
    </r>
    <r>
      <rPr>
        <sz val="11"/>
        <color theme="1"/>
        <rFont val="ＭＳ Ｐゴシック"/>
        <family val="3"/>
        <charset val="128"/>
        <scheme val="minor"/>
      </rPr>
      <t>食品有限公司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</si>
  <si>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威士忌;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葡萄酒</t>
    </r>
  </si>
  <si>
    <t>雨筎春</t>
  </si>
  <si>
    <t>邵慧敏</t>
  </si>
  <si>
    <r>
      <t>黄酒; 食用酒精; 清酒; 果酒（含酒精）;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薄荷酒;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</t>
    </r>
  </si>
  <si>
    <t>NEYEN ESPIRITU DE APALTA</t>
  </si>
  <si>
    <r>
      <t>奥托德卡</t>
    </r>
    <r>
      <rPr>
        <sz val="11"/>
        <color theme="1"/>
        <rFont val="ＭＳ Ｐゴシック"/>
        <family val="3"/>
        <charset val="134"/>
        <scheme val="minor"/>
      </rPr>
      <t>萨</t>
    </r>
    <r>
      <rPr>
        <sz val="11"/>
        <color theme="1"/>
        <rFont val="ＭＳ Ｐゴシック"/>
        <family val="3"/>
        <charset val="128"/>
        <scheme val="minor"/>
      </rPr>
      <t>布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卡公司</t>
    </r>
  </si>
  <si>
    <t>希洲</t>
  </si>
  <si>
    <t>余浪</t>
  </si>
  <si>
    <r>
      <t>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食用酒精; 蜂蜜酒; 葡萄酒; 白酒;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米酒;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</t>
    </r>
  </si>
  <si>
    <t>酩恋</t>
  </si>
  <si>
    <t>郭明明</t>
  </si>
  <si>
    <r>
      <t xml:space="preserve">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高粱酒; 威士忌; 果酒（含酒精）; 起泡白葡萄酒;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</t>
    </r>
  </si>
  <si>
    <t>柒杯酒 YATTA APKUR</t>
  </si>
  <si>
    <t>阿里木江·喀斯木</t>
  </si>
  <si>
    <r>
      <t>苹果酒;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 xml:space="preserve">桃酒; 米酒; 白酒; 蜂蜜酒;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</si>
  <si>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叙翁</t>
  </si>
  <si>
    <t>任瑞海</t>
  </si>
  <si>
    <r>
      <t>青稞酒;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黄酒; 清酒;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葡萄酒; 白酒;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</si>
  <si>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平中情</t>
  </si>
  <si>
    <t>平遥古城酒厂有限公司</t>
  </si>
  <si>
    <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黄酒; 食用酒精</t>
    </r>
  </si>
  <si>
    <t>青浩淳</t>
  </si>
  <si>
    <r>
      <t>云南青浩注册安全工程</t>
    </r>
    <r>
      <rPr>
        <sz val="11"/>
        <color theme="1"/>
        <rFont val="ＭＳ Ｐゴシック"/>
        <family val="3"/>
        <charset val="134"/>
        <scheme val="minor"/>
      </rPr>
      <t>师</t>
    </r>
    <r>
      <rPr>
        <sz val="11"/>
        <color theme="1"/>
        <rFont val="ＭＳ Ｐゴシック"/>
        <family val="3"/>
        <charset val="128"/>
        <scheme val="minor"/>
      </rPr>
      <t>事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所有限公司</t>
    </r>
  </si>
  <si>
    <r>
      <t xml:space="preserve">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青稞酒;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果酒（含酒精）;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</si>
  <si>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石婆坡山官</t>
  </si>
  <si>
    <r>
      <t>陇</t>
    </r>
    <r>
      <rPr>
        <sz val="11"/>
        <color theme="1"/>
        <rFont val="ＭＳ Ｐゴシック"/>
        <family val="3"/>
        <charset val="128"/>
        <scheme val="minor"/>
      </rPr>
      <t>川王子</t>
    </r>
    <r>
      <rPr>
        <sz val="11"/>
        <color theme="1"/>
        <rFont val="ＭＳ Ｐゴシック"/>
        <family val="3"/>
        <charset val="134"/>
        <scheme val="minor"/>
      </rPr>
      <t>树</t>
    </r>
    <r>
      <rPr>
        <sz val="11"/>
        <color theme="1"/>
        <rFont val="ＭＳ Ｐゴシック"/>
        <family val="3"/>
        <charset val="128"/>
        <scheme val="minor"/>
      </rPr>
      <t>正</t>
    </r>
    <r>
      <rPr>
        <sz val="11"/>
        <color theme="1"/>
        <rFont val="ＭＳ Ｐゴシック"/>
        <family val="3"/>
        <charset val="129"/>
        <scheme val="minor"/>
      </rPr>
      <t>强</t>
    </r>
    <r>
      <rPr>
        <sz val="11"/>
        <color theme="1"/>
        <rFont val="ＭＳ Ｐゴシック"/>
        <family val="3"/>
        <charset val="128"/>
        <scheme val="minor"/>
      </rPr>
      <t>建筑</t>
    </r>
    <r>
      <rPr>
        <sz val="11"/>
        <color theme="1"/>
        <rFont val="ＭＳ Ｐゴシック"/>
        <family val="3"/>
        <charset val="134"/>
        <scheme val="minor"/>
      </rPr>
      <t>劳务</t>
    </r>
    <r>
      <rPr>
        <sz val="11"/>
        <color theme="1"/>
        <rFont val="ＭＳ Ｐゴシック"/>
        <family val="3"/>
        <charset val="128"/>
        <scheme val="minor"/>
      </rPr>
      <t>分包有限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</si>
  <si>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甜酒; 蜂蜜酒;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葡萄酒;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果酒; 汽酒</t>
    </r>
  </si>
  <si>
    <r>
      <t>统</t>
    </r>
    <r>
      <rPr>
        <sz val="11"/>
        <color theme="1"/>
        <rFont val="ＭＳ Ｐゴシック"/>
        <family val="3"/>
        <charset val="128"/>
        <scheme val="minor"/>
      </rPr>
      <t>雀</t>
    </r>
  </si>
  <si>
    <r>
      <t>赵</t>
    </r>
    <r>
      <rPr>
        <sz val="11"/>
        <color theme="1"/>
        <rFont val="ＭＳ Ｐゴシック"/>
        <family val="3"/>
        <charset val="128"/>
        <scheme val="minor"/>
      </rPr>
      <t>玉芬</t>
    </r>
  </si>
  <si>
    <r>
      <t>葡萄酒; 清酒（日本米酒）;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甜酒</t>
    </r>
  </si>
  <si>
    <r>
      <t>廲</t>
    </r>
    <r>
      <rPr>
        <sz val="11"/>
        <color theme="1"/>
        <rFont val="ＭＳ Ｐゴシック"/>
        <family val="3"/>
        <charset val="128"/>
        <scheme val="minor"/>
      </rPr>
      <t>水印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</si>
  <si>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州百年荣太和酒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（集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）有限公司</t>
    </r>
  </si>
  <si>
    <r>
      <t>葡萄酒; 蒸煮提取物（利口酒和烈酒）;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果酒（含酒精）; 米酒</t>
    </r>
  </si>
  <si>
    <r>
      <t>青</t>
    </r>
    <r>
      <rPr>
        <sz val="11"/>
        <color theme="1"/>
        <rFont val="ＭＳ Ｐゴシック"/>
        <family val="3"/>
        <charset val="134"/>
        <scheme val="minor"/>
      </rPr>
      <t>莲</t>
    </r>
    <r>
      <rPr>
        <sz val="11"/>
        <color theme="1"/>
        <rFont val="ＭＳ Ｐゴシック"/>
        <family val="3"/>
        <charset val="128"/>
        <scheme val="minor"/>
      </rPr>
      <t>境</t>
    </r>
  </si>
  <si>
    <r>
      <t>湖南</t>
    </r>
    <r>
      <rPr>
        <sz val="11"/>
        <color theme="1"/>
        <rFont val="ＭＳ Ｐゴシック"/>
        <family val="3"/>
        <charset val="134"/>
        <scheme val="minor"/>
      </rPr>
      <t>结庐</t>
    </r>
    <r>
      <rPr>
        <sz val="11"/>
        <color theme="1"/>
        <rFont val="ＭＳ Ｐゴシック"/>
        <family val="3"/>
        <charset val="128"/>
        <scheme val="minor"/>
      </rPr>
      <t>人境商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</si>
  <si>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果酒（含酒精）; 白酒;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餐后酒（利口酒和烈酒）; 苹果酒; 露酒;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</t>
    </r>
  </si>
  <si>
    <r>
      <t>金典·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奇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</si>
  <si>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州百年金典酒庄有限公司</t>
    </r>
  </si>
  <si>
    <r>
      <t>白酒; 蒸煮提取物（利口酒和烈酒）;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苦味酒;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米酒; 高粱酒; 开胃酒; 葡萄酒</t>
    </r>
  </si>
  <si>
    <r>
      <t>齐</t>
    </r>
    <r>
      <rPr>
        <sz val="11"/>
        <color theme="1"/>
        <rFont val="ＭＳ Ｐゴシック"/>
        <family val="3"/>
        <charset val="128"/>
        <scheme val="minor"/>
      </rPr>
      <t>天美猴</t>
    </r>
  </si>
  <si>
    <r>
      <t>李</t>
    </r>
    <r>
      <rPr>
        <sz val="11"/>
        <color theme="1"/>
        <rFont val="ＭＳ Ｐゴシック"/>
        <family val="3"/>
        <charset val="134"/>
        <scheme val="minor"/>
      </rPr>
      <t>伟</t>
    </r>
  </si>
  <si>
    <r>
      <t>伏特加酒; 白酒; 黄酒; 米酒;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威士忌; 果酒（含酒精）</t>
    </r>
  </si>
  <si>
    <t>金字台·金字窖</t>
  </si>
  <si>
    <r>
      <t>肖</t>
    </r>
    <r>
      <rPr>
        <sz val="11"/>
        <color theme="1"/>
        <rFont val="ＭＳ Ｐゴシック"/>
        <family val="3"/>
        <charset val="134"/>
        <scheme val="minor"/>
      </rPr>
      <t>远</t>
    </r>
    <r>
      <rPr>
        <sz val="11"/>
        <color theme="1"/>
        <rFont val="ＭＳ Ｐゴシック"/>
        <family val="3"/>
        <charset val="128"/>
        <scheme val="minor"/>
      </rPr>
      <t>昔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</si>
  <si>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黄酒; 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</si>
  <si>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t>吴太伯</t>
  </si>
  <si>
    <r>
      <t>湖北</t>
    </r>
    <r>
      <rPr>
        <sz val="11"/>
        <color theme="1"/>
        <rFont val="ＭＳ Ｐゴシック"/>
        <family val="3"/>
        <charset val="134"/>
        <scheme val="minor"/>
      </rPr>
      <t>钟</t>
    </r>
    <r>
      <rPr>
        <sz val="11"/>
        <color theme="1"/>
        <rFont val="ＭＳ Ｐゴシック"/>
        <family val="3"/>
        <charset val="128"/>
        <scheme val="minor"/>
      </rPr>
      <t>聚祥瑞酒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</si>
  <si>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清酒（日本米酒）;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果酒（含酒精）; 露酒;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</t>
    </r>
  </si>
  <si>
    <t>SEACN</t>
  </si>
  <si>
    <r>
      <t>苏</t>
    </r>
    <r>
      <rPr>
        <sz val="11"/>
        <color theme="1"/>
        <rFont val="ＭＳ Ｐゴシック"/>
        <family val="3"/>
        <charset val="128"/>
        <scheme val="minor"/>
      </rPr>
      <t>州原自光</t>
    </r>
    <r>
      <rPr>
        <sz val="11"/>
        <color theme="1"/>
        <rFont val="ＭＳ Ｐゴシック"/>
        <family val="3"/>
        <charset val="134"/>
        <scheme val="minor"/>
      </rPr>
      <t>电</t>
    </r>
    <r>
      <rPr>
        <sz val="11"/>
        <color theme="1"/>
        <rFont val="ＭＳ Ｐゴシック"/>
        <family val="3"/>
        <charset val="128"/>
        <scheme val="minor"/>
      </rPr>
      <t>子商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</si>
  <si>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青梅酒; 冷</t>
    </r>
    <r>
      <rPr>
        <sz val="11"/>
        <color theme="1"/>
        <rFont val="ＭＳ Ｐゴシック"/>
        <family val="3"/>
        <charset val="134"/>
        <scheme val="minor"/>
      </rPr>
      <t>冻</t>
    </r>
    <r>
      <rPr>
        <sz val="11"/>
        <color theme="1"/>
        <rFont val="ＭＳ Ｐゴシック"/>
        <family val="3"/>
        <charset val="128"/>
        <scheme val="minor"/>
      </rPr>
      <t>凝胶状的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威士忌; 烈酒; 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米酒;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主的开胃酒</t>
    </r>
  </si>
  <si>
    <r>
      <t>玖灶</t>
    </r>
    <r>
      <rPr>
        <sz val="11"/>
        <color theme="1"/>
        <rFont val="ＭＳ Ｐゴシック"/>
        <family val="3"/>
        <charset val="134"/>
        <scheme val="minor"/>
      </rPr>
      <t>坛</t>
    </r>
  </si>
  <si>
    <t>易明德******************</t>
  </si>
  <si>
    <r>
      <t>蜂蜜酒;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葡萄酒;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食用酒精; 威士忌;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</t>
    </r>
  </si>
  <si>
    <r>
      <t>武</t>
    </r>
    <r>
      <rPr>
        <sz val="11"/>
        <color theme="1"/>
        <rFont val="ＭＳ Ｐゴシック"/>
        <family val="3"/>
        <charset val="134"/>
        <scheme val="minor"/>
      </rPr>
      <t>汉码链</t>
    </r>
    <r>
      <rPr>
        <sz val="11"/>
        <color theme="1"/>
        <rFont val="ＭＳ Ｐゴシック"/>
        <family val="3"/>
        <charset val="128"/>
        <scheme val="minor"/>
      </rPr>
      <t>科技有限公司 WUHAN MA LIAN TECHNOLOGY CO.</t>
    </r>
  </si>
  <si>
    <r>
      <t>武</t>
    </r>
    <r>
      <rPr>
        <sz val="11"/>
        <color theme="1"/>
        <rFont val="ＭＳ Ｐゴシック"/>
        <family val="3"/>
        <charset val="134"/>
        <scheme val="minor"/>
      </rPr>
      <t>汉码链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</si>
  <si>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葡萄酒; 伏特加酒;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</si>
  <si>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君言行</t>
  </si>
  <si>
    <r>
      <t>代</t>
    </r>
    <r>
      <rPr>
        <sz val="11"/>
        <color theme="1"/>
        <rFont val="ＭＳ Ｐゴシック"/>
        <family val="3"/>
        <charset val="134"/>
        <scheme val="minor"/>
      </rPr>
      <t>丽丽</t>
    </r>
  </si>
  <si>
    <r>
      <t>米酒; 朝</t>
    </r>
    <r>
      <rPr>
        <sz val="11"/>
        <color theme="1"/>
        <rFont val="ＭＳ Ｐゴシック"/>
        <family val="3"/>
        <charset val="134"/>
        <scheme val="minor"/>
      </rPr>
      <t>鲜</t>
    </r>
    <r>
      <rPr>
        <sz val="11"/>
        <color theme="1"/>
        <rFont val="ＭＳ Ｐゴシック"/>
        <family val="3"/>
        <charset val="128"/>
        <scheme val="minor"/>
      </rPr>
      <t xml:space="preserve">族米酒;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酒（烈酒）; 白干酒（中国白酒）; 白酒;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马</t>
    </r>
    <r>
      <rPr>
        <sz val="11"/>
        <color theme="1"/>
        <rFont val="ＭＳ Ｐゴシック"/>
        <family val="3"/>
        <charset val="128"/>
        <scheme val="minor"/>
      </rPr>
      <t>格利酒（朝</t>
    </r>
    <r>
      <rPr>
        <sz val="11"/>
        <color theme="1"/>
        <rFont val="ＭＳ Ｐゴシック"/>
        <family val="3"/>
        <charset val="134"/>
        <scheme val="minor"/>
      </rPr>
      <t>鲜传统</t>
    </r>
    <r>
      <rPr>
        <sz val="11"/>
        <color theme="1"/>
        <rFont val="ＭＳ Ｐゴシック"/>
        <family val="3"/>
        <charset val="128"/>
        <scheme val="minor"/>
      </rPr>
      <t>米酒）; 果酒</t>
    </r>
  </si>
  <si>
    <r>
      <t>古禹</t>
    </r>
    <r>
      <rPr>
        <sz val="11"/>
        <color theme="1"/>
        <rFont val="ＭＳ Ｐゴシック"/>
        <family val="3"/>
        <charset val="134"/>
        <scheme val="minor"/>
      </rPr>
      <t>积</t>
    </r>
    <r>
      <rPr>
        <sz val="11"/>
        <color theme="1"/>
        <rFont val="ＭＳ Ｐゴシック"/>
        <family val="3"/>
        <charset val="128"/>
        <scheme val="minor"/>
      </rPr>
      <t>石</t>
    </r>
  </si>
  <si>
    <r>
      <t>临</t>
    </r>
    <r>
      <rPr>
        <sz val="11"/>
        <color theme="1"/>
        <rFont val="ＭＳ Ｐゴシック"/>
        <family val="3"/>
        <charset val="128"/>
        <scheme val="minor"/>
      </rPr>
      <t>夏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戴宗坊酒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</si>
  <si>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 xml:space="preserve">青稞酒; 黄酒; 蜂蜜酒; 开胃酒; 蒸煮提取物（利口酒和烈酒）;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</t>
    </r>
  </si>
  <si>
    <t>汉阖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</si>
  <si>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州一</t>
    </r>
    <r>
      <rPr>
        <sz val="11"/>
        <color theme="1"/>
        <rFont val="ＭＳ Ｐゴシック"/>
        <family val="3"/>
        <charset val="134"/>
        <scheme val="minor"/>
      </rPr>
      <t>壶</t>
    </r>
    <r>
      <rPr>
        <sz val="11"/>
        <color theme="1"/>
        <rFont val="ＭＳ Ｐゴシック"/>
        <family val="3"/>
        <charset val="128"/>
        <scheme val="minor"/>
      </rPr>
      <t>老酒酒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</si>
  <si>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利口酒; 白酒;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</t>
    </r>
  </si>
  <si>
    <t>BIO-KULT</t>
  </si>
  <si>
    <r>
      <t>艾德美普</t>
    </r>
    <r>
      <rPr>
        <sz val="11"/>
        <color theme="1"/>
        <rFont val="ＭＳ Ｐゴシック"/>
        <family val="3"/>
        <charset val="134"/>
        <scheme val="minor"/>
      </rPr>
      <t>乐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</si>
  <si>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t>威士忌</t>
  </si>
  <si>
    <r>
      <t>定</t>
    </r>
    <r>
      <rPr>
        <sz val="11"/>
        <color theme="1"/>
        <rFont val="ＭＳ Ｐゴシック"/>
        <family val="3"/>
        <charset val="134"/>
        <scheme val="minor"/>
      </rPr>
      <t>苏</t>
    </r>
    <r>
      <rPr>
        <sz val="11"/>
        <color theme="1"/>
        <rFont val="ＭＳ Ｐゴシック"/>
        <family val="3"/>
        <charset val="128"/>
        <scheme val="minor"/>
      </rPr>
      <t>春</t>
    </r>
  </si>
  <si>
    <t>陆连连</t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</si>
  <si>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餐后酒（利口酒和烈酒）; 开胃酒; 葡萄酒; 白酒;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</si>
  <si>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青王瓷</t>
  </si>
  <si>
    <r>
      <t>陕</t>
    </r>
    <r>
      <rPr>
        <sz val="11"/>
        <color theme="1"/>
        <rFont val="ＭＳ Ｐゴシック"/>
        <family val="3"/>
        <charset val="128"/>
        <scheme val="minor"/>
      </rPr>
      <t>西秦森酒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</si>
  <si>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烈性干酒;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酒; 白干酒（中国白酒）; 高粱酒; 餐后酒（利口酒和烈酒）; 以蒸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主的开胃酒; 食用酒精; 朗姆酒;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五加皮酒（中国混合烈酒）</t>
    </r>
  </si>
  <si>
    <t>UNIVERSAL GRAVITATION</t>
  </si>
  <si>
    <r>
      <t>威世</t>
    </r>
    <r>
      <rPr>
        <sz val="11"/>
        <color theme="1"/>
        <rFont val="ＭＳ Ｐゴシック"/>
        <family val="3"/>
        <charset val="134"/>
        <scheme val="minor"/>
      </rPr>
      <t>纪</t>
    </r>
    <r>
      <rPr>
        <sz val="11"/>
        <color theme="1"/>
        <rFont val="ＭＳ Ｐゴシック"/>
        <family val="3"/>
        <charset val="128"/>
        <scheme val="minor"/>
      </rPr>
      <t>洋酒（青</t>
    </r>
    <r>
      <rPr>
        <sz val="11"/>
        <color theme="1"/>
        <rFont val="ＭＳ Ｐゴシック"/>
        <family val="3"/>
        <charset val="134"/>
        <scheme val="minor"/>
      </rPr>
      <t>岛</t>
    </r>
    <r>
      <rPr>
        <sz val="11"/>
        <color theme="1"/>
        <rFont val="ＭＳ Ｐゴシック"/>
        <family val="3"/>
        <charset val="128"/>
        <scheme val="minor"/>
      </rPr>
      <t>）有限公司</t>
    </r>
  </si>
  <si>
    <r>
      <t>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梅酒; 朗姆酒; 威士忌; 葡萄酒; 混合威士忌酒; </t>
    </r>
    <r>
      <rPr>
        <sz val="11"/>
        <color theme="1"/>
        <rFont val="ＭＳ Ｐゴシック"/>
        <family val="3"/>
        <charset val="134"/>
        <scheme val="minor"/>
      </rPr>
      <t>预调</t>
    </r>
    <r>
      <rPr>
        <sz val="11"/>
        <color theme="1"/>
        <rFont val="ＭＳ Ｐゴシック"/>
        <family val="3"/>
        <charset val="128"/>
        <scheme val="minor"/>
      </rPr>
      <t>甜酒; 麦芽威士忌;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</si>
  <si>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新湘</t>
    </r>
    <r>
      <rPr>
        <sz val="11"/>
        <color theme="1"/>
        <rFont val="ＭＳ Ｐゴシック"/>
        <family val="3"/>
        <charset val="134"/>
        <scheme val="minor"/>
      </rPr>
      <t>汇</t>
    </r>
    <r>
      <rPr>
        <sz val="11"/>
        <color theme="1"/>
        <rFont val="ＭＳ Ｐゴシック"/>
        <family val="3"/>
        <charset val="128"/>
        <scheme val="minor"/>
      </rPr>
      <t>川湘菜</t>
    </r>
  </si>
  <si>
    <r>
      <t>上海春青餐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</si>
  <si>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 xml:space="preserve">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开胃酒;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高粱酒; 葡萄酒; 食用酒精;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白干酒（中国白酒）;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</si>
  <si>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凤鸾</t>
    </r>
    <r>
      <rPr>
        <sz val="11"/>
        <color theme="1"/>
        <rFont val="ＭＳ Ｐゴシック"/>
        <family val="3"/>
        <charset val="128"/>
        <scheme val="minor"/>
      </rPr>
      <t>凰</t>
    </r>
  </si>
  <si>
    <r>
      <t>邓</t>
    </r>
    <r>
      <rPr>
        <sz val="11"/>
        <color theme="1"/>
        <rFont val="ＭＳ Ｐゴシック"/>
        <family val="3"/>
        <charset val="128"/>
        <scheme val="minor"/>
      </rPr>
      <t>志燕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</si>
  <si>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清酒（日本米酒）; 蜂蜜酒; 威士忌;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葡萄酒; 米酒; 白酒</t>
    </r>
  </si>
  <si>
    <t>四字歌</t>
  </si>
  <si>
    <r>
      <t>高</t>
    </r>
    <r>
      <rPr>
        <sz val="11"/>
        <color theme="1"/>
        <rFont val="ＭＳ Ｐゴシック"/>
        <family val="3"/>
        <charset val="134"/>
        <scheme val="minor"/>
      </rPr>
      <t>尔</t>
    </r>
    <r>
      <rPr>
        <sz val="11"/>
        <color theme="1"/>
        <rFont val="ＭＳ Ｐゴシック"/>
        <family val="3"/>
        <charset val="128"/>
        <scheme val="minor"/>
      </rPr>
      <t>棣</t>
    </r>
  </si>
  <si>
    <r>
      <t>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</si>
  <si>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御酒</t>
    </r>
    <r>
      <rPr>
        <sz val="11"/>
        <color theme="1"/>
        <rFont val="ＭＳ Ｐゴシック"/>
        <family val="3"/>
        <charset val="134"/>
        <scheme val="minor"/>
      </rPr>
      <t>贺</t>
    </r>
  </si>
  <si>
    <t>肖殿美</t>
  </si>
  <si>
    <r>
      <t>黄酒; 清酒; 威士忌; 米酒; 葡萄酒; 汽酒; 果酒;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</t>
    </r>
  </si>
  <si>
    <t>金字台·金字老</t>
  </si>
  <si>
    <r>
      <t>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葡萄酒; 汽酒;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</si>
  <si>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叁</t>
    </r>
    <r>
      <rPr>
        <sz val="11"/>
        <color theme="1"/>
        <rFont val="ＭＳ Ｐゴシック"/>
        <family val="3"/>
        <charset val="128"/>
        <scheme val="minor"/>
      </rPr>
      <t>禧伍</t>
    </r>
  </si>
  <si>
    <t>程福利</t>
  </si>
  <si>
    <r>
      <t xml:space="preserve">食用酒精; 烈酒; 米酒; 白干酒（中国白酒）; 白酒;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梅酒; 高粱酒; 果酒; 黄酒; 露酒</t>
    </r>
  </si>
  <si>
    <t>双昱</t>
  </si>
  <si>
    <t>何勇</t>
  </si>
  <si>
    <r>
      <t>葡萄酒; 米酒; 黄酒;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</si>
  <si>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玖灶圣</t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</si>
  <si>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食用酒精; 果酒（含酒精）; 葡萄酒; 蜂蜜酒; 威士忌; 白酒; 米酒;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</si>
  <si>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赤品天下</t>
  </si>
  <si>
    <r>
      <t>罗</t>
    </r>
    <r>
      <rPr>
        <sz val="11"/>
        <color theme="1"/>
        <rFont val="ＭＳ Ｐゴシック"/>
        <family val="3"/>
        <charset val="128"/>
        <scheme val="minor"/>
      </rPr>
      <t>涛涛</t>
    </r>
  </si>
  <si>
    <r>
      <t>汽酒; 米酒; 黄酒; 清酒;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威士忌;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</t>
    </r>
  </si>
  <si>
    <t>酩芙</t>
  </si>
  <si>
    <t>孟科</t>
  </si>
  <si>
    <r>
      <t xml:space="preserve">米酒; 白酒; 高粱酒; 起泡白葡萄酒; 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葡萄酒; 威士忌</t>
    </r>
  </si>
  <si>
    <r>
      <t>杏</t>
    </r>
    <r>
      <rPr>
        <sz val="11"/>
        <color theme="1"/>
        <rFont val="ＭＳ Ｐゴシック"/>
        <family val="3"/>
        <charset val="134"/>
        <scheme val="minor"/>
      </rPr>
      <t>论</t>
    </r>
  </si>
  <si>
    <r>
      <t>闫</t>
    </r>
    <r>
      <rPr>
        <sz val="11"/>
        <color theme="1"/>
        <rFont val="ＭＳ Ｐゴシック"/>
        <family val="3"/>
        <charset val="128"/>
        <scheme val="minor"/>
      </rPr>
      <t>浩</t>
    </r>
  </si>
  <si>
    <r>
      <t>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白干酒（中国白酒）;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的白酒;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高粱酒; 米酒;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黄酒; 果酒（含酒精）</t>
    </r>
  </si>
  <si>
    <t>旺年度</t>
  </si>
  <si>
    <r>
      <t>潮州市德</t>
    </r>
    <r>
      <rPr>
        <sz val="11"/>
        <color theme="1"/>
        <rFont val="ＭＳ Ｐゴシック"/>
        <family val="3"/>
        <charset val="134"/>
        <scheme val="minor"/>
      </rPr>
      <t>铭贸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</si>
  <si>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 xml:space="preserve">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葡萄酒</t>
    </r>
  </si>
  <si>
    <t>玖灶城</t>
  </si>
  <si>
    <r>
      <t>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果酒（含酒精）;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米酒; 食用酒精; 蜂蜜酒</t>
    </r>
  </si>
  <si>
    <t>沪中坊</t>
  </si>
  <si>
    <r>
      <t>上海甜稻心酒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</si>
  <si>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黄酒; 白酒;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</t>
    </r>
  </si>
  <si>
    <t>益健林</t>
  </si>
  <si>
    <t>深圳市益健林生物科技有限公司</t>
  </si>
  <si>
    <r>
      <t>青稞酒;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汽酒; 黄酒; 葡萄酒;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</si>
  <si>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卡</t>
    </r>
    <r>
      <rPr>
        <sz val="11"/>
        <color theme="1"/>
        <rFont val="ＭＳ Ｐゴシック"/>
        <family val="3"/>
        <charset val="134"/>
        <scheme val="minor"/>
      </rPr>
      <t>尔爷爷</t>
    </r>
  </si>
  <si>
    <t>山西圣田种子有限公司</t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</si>
  <si>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黄酒; 食用酒精</t>
    </r>
  </si>
  <si>
    <r>
      <t>海南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石俊合投</t>
    </r>
    <r>
      <rPr>
        <sz val="11"/>
        <color theme="1"/>
        <rFont val="ＭＳ Ｐゴシック"/>
        <family val="3"/>
        <charset val="134"/>
        <scheme val="minor"/>
      </rPr>
      <t>资发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</si>
  <si>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葡萄酒; 白酒; 果酒; 威士忌</t>
    </r>
  </si>
  <si>
    <t>方从蓉</t>
  </si>
  <si>
    <r>
      <t>吉林省鼎</t>
    </r>
    <r>
      <rPr>
        <sz val="11"/>
        <color theme="1"/>
        <rFont val="ＭＳ Ｐゴシック"/>
        <family val="3"/>
        <charset val="134"/>
        <scheme val="minor"/>
      </rPr>
      <t>驭</t>
    </r>
    <r>
      <rPr>
        <sz val="11"/>
        <color theme="1"/>
        <rFont val="ＭＳ Ｐゴシック"/>
        <family val="3"/>
        <charset val="128"/>
        <scheme val="minor"/>
      </rPr>
      <t>企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</si>
  <si>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果酒（含酒精）;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制好的葡萄酒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起泡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白葡萄酒;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</t>
    </r>
  </si>
  <si>
    <t>得密</t>
  </si>
  <si>
    <r>
      <t>李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玲</t>
    </r>
  </si>
  <si>
    <r>
      <t xml:space="preserve">开胃酒; 黄酒; 米酒; 葡萄酒; 清酒（日本米酒）; 果酒; 蒸煮提取物（利口酒和烈酒）;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烈酒; 白酒</t>
    </r>
  </si>
  <si>
    <r>
      <t>遵</t>
    </r>
    <r>
      <rPr>
        <sz val="11"/>
        <color theme="1"/>
        <rFont val="ＭＳ Ｐゴシック"/>
        <family val="3"/>
        <charset val="134"/>
        <scheme val="minor"/>
      </rPr>
      <t>门龙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</si>
  <si>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州盛世黔途</t>
    </r>
    <r>
      <rPr>
        <sz val="11"/>
        <color theme="1"/>
        <rFont val="ＭＳ Ｐゴシック"/>
        <family val="3"/>
        <charset val="134"/>
        <scheme val="minor"/>
      </rPr>
      <t>电</t>
    </r>
    <r>
      <rPr>
        <sz val="11"/>
        <color theme="1"/>
        <rFont val="ＭＳ Ｐゴシック"/>
        <family val="3"/>
        <charset val="128"/>
        <scheme val="minor"/>
      </rPr>
      <t>子商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</si>
  <si>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米酒;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</t>
    </r>
  </si>
  <si>
    <t>GZXBEERICITY</t>
  </si>
  <si>
    <r>
      <t>哈</t>
    </r>
    <r>
      <rPr>
        <sz val="11"/>
        <color theme="1"/>
        <rFont val="ＭＳ Ｐゴシック"/>
        <family val="3"/>
        <charset val="134"/>
        <scheme val="minor"/>
      </rPr>
      <t>尔滨</t>
    </r>
    <r>
      <rPr>
        <sz val="11"/>
        <color theme="1"/>
        <rFont val="ＭＳ Ｐゴシック"/>
        <family val="3"/>
        <charset val="128"/>
        <scheme val="minor"/>
      </rPr>
      <t>婆婆香食品科技有限公司</t>
    </r>
  </si>
  <si>
    <r>
      <t>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清酒（日本米酒）;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葡萄酒; 威士忌</t>
    </r>
  </si>
  <si>
    <r>
      <t>射</t>
    </r>
    <r>
      <rPr>
        <sz val="11"/>
        <color theme="1"/>
        <rFont val="ＭＳ Ｐゴシック"/>
        <family val="3"/>
        <charset val="134"/>
        <scheme val="minor"/>
      </rPr>
      <t>过</t>
    </r>
    <r>
      <rPr>
        <sz val="11"/>
        <color theme="1"/>
        <rFont val="ＭＳ Ｐゴシック"/>
        <family val="3"/>
        <charset val="128"/>
        <scheme val="minor"/>
      </rPr>
      <t>溪</t>
    </r>
  </si>
  <si>
    <r>
      <t>车</t>
    </r>
    <r>
      <rPr>
        <sz val="11"/>
        <color theme="1"/>
        <rFont val="ＭＳ Ｐゴシック"/>
        <family val="3"/>
        <charset val="128"/>
        <scheme val="minor"/>
      </rPr>
      <t>正国A*********</t>
    </r>
  </si>
  <si>
    <r>
      <t>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果酒（含酒精）; 葡萄酒; 清酒;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黄酒</t>
    </r>
  </si>
  <si>
    <r>
      <t>吉林省程老根酒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</si>
  <si>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开胃酒; 清酒（日本米酒）; 薄荷酒;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蒸煮提取物（利口酒和烈酒）; 葡萄酒</t>
    </r>
  </si>
  <si>
    <r>
      <t>泉富酒</t>
    </r>
    <r>
      <rPr>
        <sz val="11"/>
        <color theme="1"/>
        <rFont val="ＭＳ Ｐゴシック"/>
        <family val="3"/>
        <charset val="134"/>
        <scheme val="minor"/>
      </rPr>
      <t>业</t>
    </r>
  </si>
  <si>
    <r>
      <t>大</t>
    </r>
    <r>
      <rPr>
        <sz val="11"/>
        <color theme="1"/>
        <rFont val="ＭＳ Ｐゴシック"/>
        <family val="3"/>
        <charset val="134"/>
        <scheme val="minor"/>
      </rPr>
      <t>庆</t>
    </r>
    <r>
      <rPr>
        <sz val="11"/>
        <color theme="1"/>
        <rFont val="ＭＳ Ｐゴシック"/>
        <family val="3"/>
        <charset val="128"/>
        <scheme val="minor"/>
      </rPr>
      <t>市泉富酒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</si>
  <si>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 xml:space="preserve">果酒; 开胃酒;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朗姆酒; 葡萄酒; 伏特加酒; 苦味酒</t>
    </r>
  </si>
  <si>
    <t>甲卓</t>
  </si>
  <si>
    <r>
      <t>四川甲着</t>
    </r>
    <r>
      <rPr>
        <sz val="11"/>
        <color theme="1"/>
        <rFont val="ＭＳ Ｐゴシック"/>
        <family val="3"/>
        <charset val="134"/>
        <scheme val="minor"/>
      </rPr>
      <t>农业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</si>
  <si>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果酒（含酒精）;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青稞酒; 蜂蜜酒; 白酒;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</si>
  <si>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福</t>
    </r>
    <r>
      <rPr>
        <sz val="11"/>
        <color theme="1"/>
        <rFont val="ＭＳ Ｐゴシック"/>
        <family val="3"/>
        <charset val="134"/>
        <scheme val="minor"/>
      </rPr>
      <t>酱红</t>
    </r>
    <r>
      <rPr>
        <sz val="11"/>
        <color theme="1"/>
        <rFont val="ＭＳ Ｐゴシック"/>
        <family val="3"/>
        <charset val="128"/>
        <scheme val="minor"/>
      </rPr>
      <t>城</t>
    </r>
  </si>
  <si>
    <r>
      <t>谢</t>
    </r>
    <r>
      <rPr>
        <sz val="11"/>
        <color theme="1"/>
        <rFont val="ＭＳ Ｐゴシック"/>
        <family val="3"/>
        <charset val="128"/>
        <scheme val="minor"/>
      </rPr>
      <t>帝素</t>
    </r>
  </si>
  <si>
    <r>
      <t>青稞酒;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开胃酒</t>
    </r>
  </si>
  <si>
    <t>NAIBACH 柰巴赫</t>
  </si>
  <si>
    <r>
      <t>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一浪酒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</si>
  <si>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苹果酒;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汽酒; 开胃酒;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果酒（含酒精）</t>
    </r>
  </si>
  <si>
    <t>平安花</t>
  </si>
  <si>
    <t>韩亚锋</t>
  </si>
  <si>
    <r>
      <t>白酒; 开胃酒; 葡萄酒; 清酒;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高粱酒; 烈酒; 白干酒（中国白酒）; 果酒（含酒精）; 黄酒</t>
    </r>
  </si>
  <si>
    <r>
      <t>义</t>
    </r>
    <r>
      <rPr>
        <sz val="11"/>
        <color theme="1"/>
        <rFont val="ＭＳ Ｐゴシック"/>
        <family val="3"/>
        <charset val="128"/>
        <scheme val="minor"/>
      </rPr>
      <t>樾</t>
    </r>
  </si>
  <si>
    <r>
      <t>邵阳</t>
    </r>
    <r>
      <rPr>
        <sz val="11"/>
        <color theme="1"/>
        <rFont val="ＭＳ Ｐゴシック"/>
        <family val="3"/>
        <charset val="134"/>
        <scheme val="minor"/>
      </rPr>
      <t>简</t>
    </r>
    <r>
      <rPr>
        <sz val="11"/>
        <color theme="1"/>
        <rFont val="ＭＳ Ｐゴシック"/>
        <family val="3"/>
        <charset val="128"/>
        <scheme val="minor"/>
      </rPr>
      <t>仟商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</si>
  <si>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威士忌; 白酒; 果酒（含酒精）; 苹果酒;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</si>
  <si>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凤</t>
    </r>
    <r>
      <rPr>
        <sz val="11"/>
        <color theme="1"/>
        <rFont val="ＭＳ Ｐゴシック"/>
        <family val="3"/>
        <charset val="128"/>
        <scheme val="minor"/>
      </rPr>
      <t>凰情御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呈祥</t>
    </r>
  </si>
  <si>
    <r>
      <t>湖南</t>
    </r>
    <r>
      <rPr>
        <sz val="11"/>
        <color theme="1"/>
        <rFont val="ＭＳ Ｐゴシック"/>
        <family val="3"/>
        <charset val="134"/>
        <scheme val="minor"/>
      </rPr>
      <t>凤</t>
    </r>
    <r>
      <rPr>
        <sz val="11"/>
        <color theme="1"/>
        <rFont val="ＭＳ Ｐゴシック"/>
        <family val="3"/>
        <charset val="128"/>
        <scheme val="minor"/>
      </rPr>
      <t>凰情品牌管理有限公司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</si>
  <si>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食用酒精; 葡萄酒; 蒸煮提取物（利口酒和烈酒）;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</t>
    </r>
  </si>
  <si>
    <t>逐霸 ZU BA</t>
  </si>
  <si>
    <r>
      <t>泉州江小</t>
    </r>
    <r>
      <rPr>
        <sz val="11"/>
        <color theme="1"/>
        <rFont val="ＭＳ Ｐゴシック"/>
        <family val="3"/>
        <charset val="134"/>
        <scheme val="minor"/>
      </rPr>
      <t>帅贸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</si>
  <si>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米酒;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薄荷酒; 葡萄酒; 威士忌; 清酒（日本米酒）</t>
    </r>
  </si>
  <si>
    <t>于广</t>
  </si>
  <si>
    <r>
      <t>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汽酒;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白酒;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 xml:space="preserve">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</t>
    </r>
  </si>
  <si>
    <t>水泉山</t>
  </si>
  <si>
    <r>
      <t>北京玉泉酒厂（个人独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）</t>
    </r>
  </si>
  <si>
    <r>
      <t>白干酒（中国白酒）;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白酒</t>
    </r>
  </si>
  <si>
    <r>
      <t>广西投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</si>
  <si>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白酒; 烈酒;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</si>
  <si>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r>
      <t>襄煌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茗堂</t>
    </r>
  </si>
  <si>
    <r>
      <t>陕</t>
    </r>
    <r>
      <rPr>
        <sz val="11"/>
        <color theme="1"/>
        <rFont val="ＭＳ Ｐゴシック"/>
        <family val="3"/>
        <charset val="128"/>
        <scheme val="minor"/>
      </rPr>
      <t>西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茗堂健康</t>
    </r>
    <r>
      <rPr>
        <sz val="11"/>
        <color theme="1"/>
        <rFont val="ＭＳ Ｐゴシック"/>
        <family val="3"/>
        <charset val="134"/>
        <scheme val="minor"/>
      </rPr>
      <t>产业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</si>
  <si>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黄酒; 果酒; 烈酒;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果酒（含酒精）; 葡萄酒; 开胃酒</t>
    </r>
  </si>
  <si>
    <t>王向荣</t>
  </si>
  <si>
    <r>
      <t>餐后酒（利口酒和烈酒）; 白酒; 薄荷酒; 果酒（含酒精）; 食用酒精;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</t>
    </r>
  </si>
  <si>
    <r>
      <t>千股</t>
    </r>
    <r>
      <rPr>
        <sz val="11"/>
        <color theme="1"/>
        <rFont val="ＭＳ Ｐゴシック"/>
        <family val="3"/>
        <charset val="134"/>
        <scheme val="minor"/>
      </rPr>
      <t>酿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</si>
  <si>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市富</t>
    </r>
    <r>
      <rPr>
        <sz val="11"/>
        <color theme="1"/>
        <rFont val="ＭＳ Ｐゴシック"/>
        <family val="3"/>
        <charset val="134"/>
        <scheme val="minor"/>
      </rPr>
      <t>轩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业销</t>
    </r>
    <r>
      <rPr>
        <sz val="11"/>
        <color theme="1"/>
        <rFont val="ＭＳ Ｐゴシック"/>
        <family val="3"/>
        <charset val="128"/>
        <scheme val="minor"/>
      </rPr>
      <t>售有限公司</t>
    </r>
  </si>
  <si>
    <r>
      <t>果酒（含酒精）;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伏特加酒; 朗姆酒;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</si>
  <si>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r>
      <t>鸿</t>
    </r>
    <r>
      <rPr>
        <sz val="11"/>
        <color theme="1"/>
        <rFont val="ＭＳ Ｐゴシック"/>
        <family val="3"/>
        <charset val="128"/>
        <scheme val="minor"/>
      </rPr>
      <t>运五三五九</t>
    </r>
  </si>
  <si>
    <r>
      <t>张</t>
    </r>
    <r>
      <rPr>
        <sz val="11"/>
        <color theme="1"/>
        <rFont val="ＭＳ Ｐゴシック"/>
        <family val="3"/>
        <charset val="128"/>
        <scheme val="minor"/>
      </rPr>
      <t>俊</t>
    </r>
    <r>
      <rPr>
        <sz val="11"/>
        <color theme="1"/>
        <rFont val="ＭＳ Ｐゴシック"/>
        <family val="3"/>
        <charset val="134"/>
        <scheme val="minor"/>
      </rPr>
      <t>飞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</si>
  <si>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黄酒; 果酒（含酒精）; 餐后酒（利口酒和烈酒）</t>
    </r>
  </si>
  <si>
    <r>
      <t>尝</t>
    </r>
    <r>
      <rPr>
        <sz val="11"/>
        <color theme="1"/>
        <rFont val="ＭＳ Ｐゴシック"/>
        <family val="3"/>
        <charset val="128"/>
        <scheme val="minor"/>
      </rPr>
      <t>行</t>
    </r>
  </si>
  <si>
    <r>
      <t>解</t>
    </r>
    <r>
      <rPr>
        <sz val="11"/>
        <color theme="1"/>
        <rFont val="ＭＳ Ｐゴシック"/>
        <family val="3"/>
        <charset val="134"/>
        <scheme val="minor"/>
      </rPr>
      <t>晓伟</t>
    </r>
  </si>
  <si>
    <r>
      <t>亚</t>
    </r>
    <r>
      <rPr>
        <sz val="11"/>
        <color theme="1"/>
        <rFont val="ＭＳ Ｐゴシック"/>
        <family val="3"/>
        <charset val="128"/>
        <scheme val="minor"/>
      </rPr>
      <t xml:space="preserve">力酒;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柑香酒;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酸酒（低等葡萄酒）; 清酒（日本米酒）; 朗姆酒; 杜松子酒</t>
    </r>
  </si>
  <si>
    <r>
      <t>动</t>
    </r>
    <r>
      <rPr>
        <sz val="11"/>
        <color theme="1"/>
        <rFont val="ＭＳ Ｐゴシック"/>
        <family val="3"/>
        <charset val="128"/>
        <scheme val="minor"/>
      </rPr>
      <t>物凶猛</t>
    </r>
  </si>
  <si>
    <r>
      <t>郭</t>
    </r>
    <r>
      <rPr>
        <sz val="11"/>
        <color theme="1"/>
        <rFont val="ＭＳ Ｐゴシック"/>
        <family val="3"/>
        <charset val="134"/>
        <scheme val="minor"/>
      </rPr>
      <t>亚</t>
    </r>
    <r>
      <rPr>
        <sz val="11"/>
        <color theme="1"/>
        <rFont val="ＭＳ Ｐゴシック"/>
        <family val="3"/>
        <charset val="128"/>
        <scheme val="minor"/>
      </rPr>
      <t>娟</t>
    </r>
  </si>
  <si>
    <r>
      <t>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葡萄酒; 白酒;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汽酒;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</t>
    </r>
  </si>
  <si>
    <r>
      <t>枕山</t>
    </r>
    <r>
      <rPr>
        <sz val="11"/>
        <color theme="1"/>
        <rFont val="ＭＳ Ｐゴシック"/>
        <family val="3"/>
        <charset val="134"/>
        <scheme val="minor"/>
      </rPr>
      <t>窥</t>
    </r>
    <r>
      <rPr>
        <sz val="11"/>
        <color theme="1"/>
        <rFont val="ＭＳ Ｐゴシック"/>
        <family val="3"/>
        <charset val="128"/>
        <scheme val="minor"/>
      </rPr>
      <t>川</t>
    </r>
  </si>
  <si>
    <r>
      <t>贺兰</t>
    </r>
    <r>
      <rPr>
        <sz val="11"/>
        <color theme="1"/>
        <rFont val="ＭＳ Ｐゴシック"/>
        <family val="3"/>
        <charset val="128"/>
        <scheme val="minor"/>
      </rPr>
      <t>山宿集（宁夏）酒庄有限公司</t>
    </r>
  </si>
  <si>
    <r>
      <t>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葡萄潘趣酒; 白葡萄酒; 酸酒（低等葡萄酒）; 伏特加酒;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</si>
  <si>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LIQUID OFFICE</t>
  </si>
  <si>
    <r>
      <t>成都赤塔商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</si>
  <si>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餐后酒（利口酒和烈酒）;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</si>
  <si>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山</t>
    </r>
    <r>
      <rPr>
        <sz val="11"/>
        <color theme="1"/>
        <rFont val="ＭＳ Ｐゴシック"/>
        <family val="3"/>
        <charset val="134"/>
        <scheme val="minor"/>
      </rPr>
      <t>财</t>
    </r>
    <r>
      <rPr>
        <sz val="11"/>
        <color theme="1"/>
        <rFont val="ＭＳ Ｐゴシック"/>
        <family val="3"/>
        <charset val="128"/>
        <scheme val="minor"/>
      </rPr>
      <t>椰浪</t>
    </r>
  </si>
  <si>
    <r>
      <t>海南万佳裕</t>
    </r>
    <r>
      <rPr>
        <sz val="11"/>
        <color theme="1"/>
        <rFont val="ＭＳ Ｐゴシック"/>
        <family val="3"/>
        <charset val="134"/>
        <scheme val="minor"/>
      </rPr>
      <t>进</t>
    </r>
    <r>
      <rPr>
        <sz val="11"/>
        <color theme="1"/>
        <rFont val="ＭＳ Ｐゴシック"/>
        <family val="3"/>
        <charset val="128"/>
        <scheme val="minor"/>
      </rPr>
      <t>出口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</si>
  <si>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黄酒; 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食用酒精; 米酒; 白酒; 威士忌</t>
    </r>
  </si>
  <si>
    <r>
      <t>捣</t>
    </r>
    <r>
      <rPr>
        <sz val="11"/>
        <color theme="1"/>
        <rFont val="ＭＳ Ｐゴシック"/>
        <family val="3"/>
        <charset val="128"/>
        <scheme val="minor"/>
      </rPr>
      <t>蛋果</t>
    </r>
  </si>
  <si>
    <r>
      <t>海南</t>
    </r>
    <r>
      <rPr>
        <sz val="11"/>
        <color theme="1"/>
        <rFont val="ＭＳ Ｐゴシック"/>
        <family val="3"/>
        <charset val="134"/>
        <scheme val="minor"/>
      </rPr>
      <t>汇顺实业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</si>
  <si>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米酒;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</si>
  <si>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多特梅德 DORTMEDE</t>
  </si>
  <si>
    <r>
      <t>烟台嘉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</si>
  <si>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伏特加酒; 威士忌; 果酒（含酒精）;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葡萄酒; 朗姆酒;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汽酒</t>
    </r>
  </si>
  <si>
    <t>BAMINLIYUEFU</t>
  </si>
  <si>
    <r>
      <t>福福建八</t>
    </r>
    <r>
      <rPr>
        <sz val="11"/>
        <color theme="1"/>
        <rFont val="ＭＳ Ｐゴシック"/>
        <family val="3"/>
        <charset val="134"/>
        <scheme val="minor"/>
      </rPr>
      <t>闽</t>
    </r>
    <r>
      <rPr>
        <sz val="11"/>
        <color theme="1"/>
        <rFont val="ＭＳ Ｐゴシック"/>
        <family val="3"/>
        <charset val="128"/>
        <scheme val="minor"/>
      </rPr>
      <t>李岳富文化</t>
    </r>
    <r>
      <rPr>
        <sz val="11"/>
        <color theme="1"/>
        <rFont val="ＭＳ Ｐゴシック"/>
        <family val="3"/>
        <charset val="134"/>
        <scheme val="minor"/>
      </rPr>
      <t>产业发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</si>
  <si>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餐后酒（利口酒和烈酒）;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米酒; 食用酒精; 伏特加酒; 白酒; 果酒（含酒精）; 威士忌</t>
    </r>
  </si>
  <si>
    <r>
      <t>庆</t>
    </r>
    <r>
      <rPr>
        <sz val="11"/>
        <color theme="1"/>
        <rFont val="ＭＳ Ｐゴシック"/>
        <family val="3"/>
        <charset val="128"/>
        <scheme val="minor"/>
      </rPr>
      <t>都六</t>
    </r>
    <r>
      <rPr>
        <sz val="11"/>
        <color theme="1"/>
        <rFont val="ＭＳ Ｐゴシック"/>
        <family val="3"/>
        <charset val="134"/>
        <scheme val="minor"/>
      </rPr>
      <t>马</t>
    </r>
  </si>
  <si>
    <r>
      <t>河北雄安新淀生</t>
    </r>
    <r>
      <rPr>
        <sz val="11"/>
        <color theme="1"/>
        <rFont val="ＭＳ Ｐゴシック"/>
        <family val="3"/>
        <charset val="134"/>
        <scheme val="minor"/>
      </rPr>
      <t>态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</si>
  <si>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米酒; 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食用酒精; 白酒;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汽酒</t>
    </r>
  </si>
  <si>
    <r>
      <t>晟</t>
    </r>
    <r>
      <rPr>
        <sz val="11"/>
        <color theme="1"/>
        <rFont val="ＭＳ Ｐゴシック"/>
        <family val="3"/>
        <charset val="134"/>
        <scheme val="minor"/>
      </rPr>
      <t>马</t>
    </r>
  </si>
  <si>
    <r>
      <t>张</t>
    </r>
    <r>
      <rPr>
        <sz val="11"/>
        <color theme="1"/>
        <rFont val="ＭＳ Ｐゴシック"/>
        <family val="3"/>
        <charset val="128"/>
        <scheme val="minor"/>
      </rPr>
      <t>玉江</t>
    </r>
  </si>
  <si>
    <r>
      <t>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白酒; 白干酒（中国白酒）; 烈酒; 高粱酒;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食用酒精</t>
    </r>
  </si>
  <si>
    <t>絮志惠川</t>
  </si>
  <si>
    <t>万勤******************</t>
  </si>
  <si>
    <r>
      <t xml:space="preserve">果酒（含酒精）; 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葡萄酒;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</si>
  <si>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草</t>
    </r>
    <r>
      <rPr>
        <sz val="11"/>
        <color theme="1"/>
        <rFont val="ＭＳ Ｐゴシック"/>
        <family val="3"/>
        <charset val="134"/>
        <scheme val="minor"/>
      </rPr>
      <t>时斋</t>
    </r>
    <r>
      <rPr>
        <sz val="11"/>
        <color theme="1"/>
        <rFont val="ＭＳ Ｐゴシック"/>
        <family val="3"/>
        <charset val="128"/>
        <scheme val="minor"/>
      </rPr>
      <t xml:space="preserve"> 365</t>
    </r>
  </si>
  <si>
    <t>崔云</t>
  </si>
  <si>
    <r>
      <t>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米酒</t>
    </r>
  </si>
  <si>
    <t>1+</t>
  </si>
  <si>
    <t>深圳市万普拉斯科技有限公司</t>
  </si>
  <si>
    <r>
      <t>威士忌;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清酒（日本米酒）; 白酒; 葡萄酒; 食用酒精;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</si>
  <si>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HUI BAI CHA</t>
  </si>
  <si>
    <r>
      <t>黄山元本元茶叶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</si>
  <si>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葡萄酒;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威士忌;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</t>
    </r>
  </si>
  <si>
    <r>
      <t>车</t>
    </r>
    <r>
      <rPr>
        <sz val="11"/>
        <color theme="1"/>
        <rFont val="ＭＳ Ｐゴシック"/>
        <family val="3"/>
        <charset val="128"/>
        <scheme val="minor"/>
      </rPr>
      <t>巴达</t>
    </r>
  </si>
  <si>
    <r>
      <t>车</t>
    </r>
    <r>
      <rPr>
        <sz val="11"/>
        <color theme="1"/>
        <rFont val="ＭＳ Ｐゴシック"/>
        <family val="3"/>
        <charset val="128"/>
        <scheme val="minor"/>
      </rPr>
      <t>巴达（</t>
    </r>
    <r>
      <rPr>
        <sz val="11"/>
        <color theme="1"/>
        <rFont val="ＭＳ Ｐゴシック"/>
        <family val="3"/>
        <charset val="134"/>
        <scheme val="minor"/>
      </rPr>
      <t>苏</t>
    </r>
    <r>
      <rPr>
        <sz val="11"/>
        <color theme="1"/>
        <rFont val="ＭＳ Ｐゴシック"/>
        <family val="3"/>
        <charset val="128"/>
        <scheme val="minor"/>
      </rPr>
      <t>州）网</t>
    </r>
    <r>
      <rPr>
        <sz val="11"/>
        <color theme="1"/>
        <rFont val="ＭＳ Ｐゴシック"/>
        <family val="3"/>
        <charset val="134"/>
        <scheme val="minor"/>
      </rPr>
      <t>络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</si>
  <si>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含酒精的充气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果酒; 水果汽酒; 食用酒精;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</si>
  <si>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原庄原炉高</t>
  </si>
  <si>
    <r>
      <t>郭学</t>
    </r>
    <r>
      <rPr>
        <sz val="11"/>
        <color theme="1"/>
        <rFont val="ＭＳ Ｐゴシック"/>
        <family val="3"/>
        <charset val="134"/>
        <scheme val="minor"/>
      </rPr>
      <t>伟</t>
    </r>
    <r>
      <rPr>
        <sz val="11"/>
        <color theme="1"/>
        <rFont val="ＭＳ Ｐゴシック"/>
        <family val="3"/>
        <charset val="128"/>
        <scheme val="minor"/>
      </rPr>
      <t>******************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</si>
  <si>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汽酒; 米酒; 葡萄酒; 开胃酒; 果酒（含酒精）; 黄酒; 食用酒精; 青稞酒; 白酒</t>
    </r>
  </si>
  <si>
    <t>支云狼</t>
  </si>
  <si>
    <t>季杰</t>
  </si>
  <si>
    <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清酒; 威士忌;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米酒</t>
    </r>
  </si>
  <si>
    <r>
      <t>太行</t>
    </r>
    <r>
      <rPr>
        <sz val="11"/>
        <color theme="1"/>
        <rFont val="ＭＳ Ｐゴシック"/>
        <family val="3"/>
        <charset val="134"/>
        <scheme val="minor"/>
      </rPr>
      <t>缘</t>
    </r>
    <r>
      <rPr>
        <sz val="11"/>
        <color theme="1"/>
        <rFont val="ＭＳ Ｐゴシック"/>
        <family val="3"/>
        <charset val="128"/>
        <scheme val="minor"/>
      </rPr>
      <t>錞</t>
    </r>
  </si>
  <si>
    <r>
      <t>武安市</t>
    </r>
    <r>
      <rPr>
        <sz val="11"/>
        <color theme="1"/>
        <rFont val="ＭＳ Ｐゴシック"/>
        <family val="3"/>
        <charset val="134"/>
        <scheme val="minor"/>
      </rPr>
      <t>丽</t>
    </r>
    <r>
      <rPr>
        <sz val="11"/>
        <color theme="1"/>
        <rFont val="ＭＳ Ｐゴシック"/>
        <family val="3"/>
        <charset val="128"/>
        <scheme val="minor"/>
      </rPr>
      <t>源酒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</si>
  <si>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果酒（含酒精）; 米酒; 白酒; 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</si>
  <si>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相</t>
    </r>
    <r>
      <rPr>
        <sz val="11"/>
        <color theme="1"/>
        <rFont val="ＭＳ Ｐゴシック"/>
        <family val="3"/>
        <charset val="134"/>
        <scheme val="minor"/>
      </rPr>
      <t>约</t>
    </r>
    <r>
      <rPr>
        <sz val="11"/>
        <color theme="1"/>
        <rFont val="ＭＳ Ｐゴシック"/>
        <family val="3"/>
        <charset val="128"/>
        <scheme val="minor"/>
      </rPr>
      <t>佰</t>
    </r>
    <r>
      <rPr>
        <sz val="11"/>
        <color theme="1"/>
        <rFont val="ＭＳ Ｐゴシック"/>
        <family val="3"/>
        <charset val="134"/>
        <scheme val="minor"/>
      </rPr>
      <t>见</t>
    </r>
  </si>
  <si>
    <r>
      <t>福建佰</t>
    </r>
    <r>
      <rPr>
        <sz val="11"/>
        <color theme="1"/>
        <rFont val="ＭＳ Ｐゴシック"/>
        <family val="3"/>
        <charset val="134"/>
        <scheme val="minor"/>
      </rPr>
      <t>见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</si>
  <si>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利口酒;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黄酒; 开胃酒; 蜂蜜酒; 威士忌; 米酒; 果酒（含酒精）</t>
    </r>
  </si>
  <si>
    <r>
      <t>榆</t>
    </r>
    <r>
      <rPr>
        <sz val="11"/>
        <color theme="1"/>
        <rFont val="ＭＳ Ｐゴシック"/>
        <family val="3"/>
        <charset val="128"/>
        <scheme val="minor"/>
      </rPr>
      <t>林利雅新商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</si>
  <si>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黄酒; 高粱酒; 烈酒;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米酒; 青稞酒;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</t>
    </r>
  </si>
  <si>
    <r>
      <t>金礼</t>
    </r>
    <r>
      <rPr>
        <sz val="11"/>
        <color theme="1"/>
        <rFont val="ＭＳ Ｐゴシック"/>
        <family val="3"/>
        <charset val="134"/>
        <scheme val="minor"/>
      </rPr>
      <t>宾</t>
    </r>
    <r>
      <rPr>
        <sz val="11"/>
        <color theme="1"/>
        <rFont val="ＭＳ Ｐゴシック"/>
        <family val="3"/>
        <charset val="128"/>
        <scheme val="minor"/>
      </rPr>
      <t>牌金礼</t>
    </r>
    <r>
      <rPr>
        <sz val="11"/>
        <color theme="1"/>
        <rFont val="ＭＳ Ｐゴシック"/>
        <family val="3"/>
        <charset val="134"/>
        <scheme val="minor"/>
      </rPr>
      <t>宾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</si>
  <si>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中国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双喜集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股份有限公司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</si>
  <si>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烈酒;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清酒; 果酒; 白酒; 葡萄酒; 米酒</t>
    </r>
  </si>
  <si>
    <r>
      <t>新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屯世香原</t>
    </r>
  </si>
  <si>
    <r>
      <t>郑</t>
    </r>
    <r>
      <rPr>
        <sz val="11"/>
        <color theme="1"/>
        <rFont val="ＭＳ Ｐゴシック"/>
        <family val="3"/>
        <charset val="128"/>
        <scheme val="minor"/>
      </rPr>
      <t>波</t>
    </r>
  </si>
  <si>
    <r>
      <t>汽酒; 蜂蜜酒;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果酒（含酒精）; 葡萄酒; 白酒;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</t>
    </r>
  </si>
  <si>
    <t>黔粮心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</si>
  <si>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市茅台</t>
    </r>
    <r>
      <rPr>
        <sz val="11"/>
        <color theme="1"/>
        <rFont val="ＭＳ Ｐゴシック"/>
        <family val="3"/>
        <charset val="134"/>
        <scheme val="minor"/>
      </rPr>
      <t>镇</t>
    </r>
    <r>
      <rPr>
        <sz val="11"/>
        <color theme="1"/>
        <rFont val="ＭＳ Ｐゴシック"/>
        <family val="3"/>
        <charset val="128"/>
        <scheme val="minor"/>
      </rPr>
      <t>文中酒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</si>
  <si>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米酒; 黄酒; 果酒（含酒精）; 青稞酒;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</si>
  <si>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念天下</t>
    </r>
  </si>
  <si>
    <r>
      <t>楚云</t>
    </r>
    <r>
      <rPr>
        <sz val="11"/>
        <color theme="1"/>
        <rFont val="ＭＳ Ｐゴシック"/>
        <family val="3"/>
        <charset val="129"/>
        <scheme val="minor"/>
      </rPr>
      <t>强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</si>
  <si>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高粱酒; 白干酒（中国白酒）; 果酒; 白酒; 清酒; 葡萄酒; 米酒; 黄酒</t>
    </r>
  </si>
  <si>
    <r>
      <t>敕造皇家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坊</t>
    </r>
  </si>
  <si>
    <r>
      <t>王玉</t>
    </r>
    <r>
      <rPr>
        <sz val="11"/>
        <color theme="1"/>
        <rFont val="ＭＳ Ｐゴシック"/>
        <family val="3"/>
        <charset val="134"/>
        <scheme val="minor"/>
      </rPr>
      <t>龙</t>
    </r>
  </si>
  <si>
    <r>
      <t>米酒;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开胃酒;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果酒（含酒精）; 白酒</t>
    </r>
  </si>
  <si>
    <r>
      <t>桓昌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坊</t>
    </r>
  </si>
  <si>
    <r>
      <t>杨</t>
    </r>
    <r>
      <rPr>
        <sz val="11"/>
        <color theme="1"/>
        <rFont val="ＭＳ Ｐゴシック"/>
        <family val="3"/>
        <charset val="128"/>
        <scheme val="minor"/>
      </rPr>
      <t>玉菊</t>
    </r>
  </si>
  <si>
    <r>
      <t xml:space="preserve">清酒（日本米酒）; 白酒; 米酒;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薄荷酒</t>
    </r>
  </si>
  <si>
    <r>
      <t>酒</t>
    </r>
    <r>
      <rPr>
        <sz val="11"/>
        <color theme="1"/>
        <rFont val="ＭＳ Ｐゴシック"/>
        <family val="3"/>
        <charset val="134"/>
        <scheme val="minor"/>
      </rPr>
      <t>赋闻坛</t>
    </r>
  </si>
  <si>
    <t>邓闳</t>
  </si>
  <si>
    <r>
      <t>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苹果酒; 葡萄酒; 餐后酒（利口酒和烈酒）; 米酒; 白酒; 露酒</t>
    </r>
  </si>
  <si>
    <r>
      <t>岗</t>
    </r>
    <r>
      <rPr>
        <sz val="11"/>
        <color theme="1"/>
        <rFont val="ＭＳ Ｐゴシック"/>
        <family val="3"/>
        <charset val="128"/>
        <scheme val="minor"/>
      </rPr>
      <t>坤</t>
    </r>
  </si>
  <si>
    <t>宋磊</t>
  </si>
  <si>
    <r>
      <t xml:space="preserve">果酒; 青稞酒;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白酒; 高粱酒;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蒸煮提取物（利口酒和烈酒）</t>
    </r>
  </si>
  <si>
    <r>
      <t>巨匠</t>
    </r>
    <r>
      <rPr>
        <sz val="11"/>
        <color theme="1"/>
        <rFont val="ＭＳ Ｐゴシック"/>
        <family val="3"/>
        <charset val="134"/>
        <scheme val="minor"/>
      </rPr>
      <t>师</t>
    </r>
    <r>
      <rPr>
        <sz val="11"/>
        <color theme="1"/>
        <rFont val="ＭＳ Ｐゴシック"/>
        <family val="3"/>
        <charset val="128"/>
        <scheme val="minor"/>
      </rPr>
      <t>作</t>
    </r>
  </si>
  <si>
    <r>
      <t>郑</t>
    </r>
    <r>
      <rPr>
        <sz val="11"/>
        <color theme="1"/>
        <rFont val="ＭＳ Ｐゴシック"/>
        <family val="3"/>
        <charset val="128"/>
        <scheme val="minor"/>
      </rPr>
      <t>州市在云上企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管理咨</t>
    </r>
    <r>
      <rPr>
        <sz val="11"/>
        <color theme="1"/>
        <rFont val="ＭＳ Ｐゴシック"/>
        <family val="3"/>
        <charset val="134"/>
        <scheme val="minor"/>
      </rPr>
      <t>询</t>
    </r>
    <r>
      <rPr>
        <sz val="11"/>
        <color theme="1"/>
        <rFont val="ＭＳ Ｐゴシック"/>
        <family val="3"/>
        <charset val="128"/>
        <scheme val="minor"/>
      </rPr>
      <t>中心（有限合伙）</t>
    </r>
  </si>
  <si>
    <r>
      <t>烈酒; 清酒; 葡萄酒; 果酒（含酒精）;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黄酒; 甜酒; 白酒</t>
    </r>
  </si>
  <si>
    <r>
      <t>哈</t>
    </r>
    <r>
      <rPr>
        <sz val="11"/>
        <color theme="1"/>
        <rFont val="ＭＳ Ｐゴシック"/>
        <family val="3"/>
        <charset val="134"/>
        <scheme val="minor"/>
      </rPr>
      <t>尔苏</t>
    </r>
    <r>
      <rPr>
        <sz val="11"/>
        <color theme="1"/>
        <rFont val="ＭＳ Ｐゴシック"/>
        <family val="3"/>
        <charset val="128"/>
        <scheme val="minor"/>
      </rPr>
      <t>哈</t>
    </r>
  </si>
  <si>
    <r>
      <t>重</t>
    </r>
    <r>
      <rPr>
        <sz val="11"/>
        <color theme="1"/>
        <rFont val="ＭＳ Ｐゴシック"/>
        <family val="3"/>
        <charset val="134"/>
        <scheme val="minor"/>
      </rPr>
      <t>庆</t>
    </r>
    <r>
      <rPr>
        <sz val="11"/>
        <color theme="1"/>
        <rFont val="ＭＳ Ｐゴシック"/>
        <family val="3"/>
        <charset val="128"/>
        <scheme val="minor"/>
      </rPr>
      <t>高</t>
    </r>
    <r>
      <rPr>
        <sz val="11"/>
        <color theme="1"/>
        <rFont val="ＭＳ Ｐゴシック"/>
        <family val="3"/>
        <charset val="134"/>
        <scheme val="minor"/>
      </rPr>
      <t>视传</t>
    </r>
    <r>
      <rPr>
        <sz val="11"/>
        <color theme="1"/>
        <rFont val="ＭＳ Ｐゴシック"/>
        <family val="3"/>
        <charset val="128"/>
        <scheme val="minor"/>
      </rPr>
      <t>媒技</t>
    </r>
    <r>
      <rPr>
        <sz val="11"/>
        <color theme="1"/>
        <rFont val="ＭＳ Ｐゴシック"/>
        <family val="3"/>
        <charset val="134"/>
        <scheme val="minor"/>
      </rPr>
      <t>术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</si>
  <si>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苹果酒;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 xml:space="preserve">汁; 米酒;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汽酒; 白酒</t>
    </r>
  </si>
  <si>
    <t>熙畴</t>
  </si>
  <si>
    <r>
      <t>杨</t>
    </r>
    <r>
      <rPr>
        <sz val="11"/>
        <color theme="1"/>
        <rFont val="ＭＳ Ｐゴシック"/>
        <family val="3"/>
        <charset val="128"/>
        <scheme val="minor"/>
      </rPr>
      <t>志祥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</si>
  <si>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白酒;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食用酒精; 黄酒; 果酒（含酒精）; 青稞酒; 甘蔗制酒精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</si>
  <si>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新盛芙蓉女儿</t>
  </si>
  <si>
    <r>
      <t>沈阳市新盛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酒厂</t>
    </r>
  </si>
  <si>
    <r>
      <t xml:space="preserve">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黄酒; 开胃酒; 苦味酒</t>
    </r>
  </si>
  <si>
    <r>
      <t>塞外</t>
    </r>
    <r>
      <rPr>
        <sz val="11"/>
        <color theme="1"/>
        <rFont val="ＭＳ Ｐゴシック"/>
        <family val="3"/>
        <charset val="129"/>
        <scheme val="minor"/>
      </rPr>
      <t>酕</t>
    </r>
    <r>
      <rPr>
        <sz val="11"/>
        <color theme="1"/>
        <rFont val="ＭＳ Ｐゴシック"/>
        <family val="3"/>
        <charset val="134"/>
        <scheme val="minor"/>
      </rPr>
      <t>谭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</si>
  <si>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州京</t>
    </r>
    <r>
      <rPr>
        <sz val="11"/>
        <color theme="1"/>
        <rFont val="ＭＳ Ｐゴシック"/>
        <family val="3"/>
        <charset val="134"/>
        <scheme val="minor"/>
      </rPr>
      <t>谭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</si>
  <si>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葡萄酒; 白酒; 果酒（含酒精）; 米酒;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食用酒精; 青稞酒</t>
    </r>
  </si>
  <si>
    <t>古佩淳</t>
  </si>
  <si>
    <r>
      <t>何</t>
    </r>
    <r>
      <rPr>
        <sz val="11"/>
        <color theme="1"/>
        <rFont val="ＭＳ Ｐゴシック"/>
        <family val="3"/>
        <charset val="134"/>
        <scheme val="minor"/>
      </rPr>
      <t>贤</t>
    </r>
  </si>
  <si>
    <r>
      <t>米酒; 白酒; 果酒;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的白酒;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高粱酒; 白干酒（中国白酒）;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</si>
  <si>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t>ZHONGJLU</t>
  </si>
  <si>
    <r>
      <t>杨</t>
    </r>
    <r>
      <rPr>
        <sz val="11"/>
        <color theme="1"/>
        <rFont val="ＭＳ Ｐゴシック"/>
        <family val="3"/>
        <charset val="128"/>
        <scheme val="minor"/>
      </rPr>
      <t>怡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</si>
  <si>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开胃酒;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葡萄酒; 白酒; 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</si>
  <si>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太行</t>
    </r>
    <r>
      <rPr>
        <sz val="11"/>
        <color theme="1"/>
        <rFont val="ＭＳ Ｐゴシック"/>
        <family val="3"/>
        <charset val="134"/>
        <scheme val="minor"/>
      </rPr>
      <t>锦</t>
    </r>
    <r>
      <rPr>
        <sz val="11"/>
        <color theme="1"/>
        <rFont val="ＭＳ Ｐゴシック"/>
        <family val="3"/>
        <charset val="128"/>
        <scheme val="minor"/>
      </rPr>
      <t>臻</t>
    </r>
  </si>
  <si>
    <r>
      <t>黄酒; 开胃酒;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白酒;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</si>
  <si>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阖</t>
    </r>
    <r>
      <rPr>
        <sz val="11"/>
        <color theme="1"/>
        <rFont val="ＭＳ Ｐゴシック"/>
        <family val="3"/>
        <charset val="128"/>
        <scheme val="minor"/>
      </rPr>
      <t>匠盛世</t>
    </r>
  </si>
  <si>
    <r>
      <t>果酒（含酒精）;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餐后酒（利口酒和烈酒）; 白酒; 苹果酒; 葡萄酒; 露酒;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</si>
  <si>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师</t>
    </r>
    <r>
      <rPr>
        <sz val="11"/>
        <color theme="1"/>
        <rFont val="ＭＳ Ｐゴシック"/>
        <family val="3"/>
        <charset val="128"/>
        <scheme val="minor"/>
      </rPr>
      <t>作匠心</t>
    </r>
  </si>
  <si>
    <r>
      <t xml:space="preserve">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黄酒; 甜酒; 白酒; 葡萄酒;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烈酒</t>
    </r>
  </si>
  <si>
    <r>
      <t>聚京</t>
    </r>
    <r>
      <rPr>
        <sz val="11"/>
        <color theme="1"/>
        <rFont val="ＭＳ Ｐゴシック"/>
        <family val="3"/>
        <charset val="134"/>
        <scheme val="minor"/>
      </rPr>
      <t>缘</t>
    </r>
  </si>
  <si>
    <r>
      <t>马</t>
    </r>
    <r>
      <rPr>
        <sz val="11"/>
        <color theme="1"/>
        <rFont val="ＭＳ Ｐゴシック"/>
        <family val="3"/>
        <charset val="128"/>
        <scheme val="minor"/>
      </rPr>
      <t>玉启</t>
    </r>
  </si>
  <si>
    <r>
      <t xml:space="preserve">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白酒;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</t>
    </r>
  </si>
  <si>
    <t>一加</t>
  </si>
  <si>
    <r>
      <t>威士忌; 食用酒精;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白酒; 清酒（日本米酒）; 葡萄酒</t>
    </r>
  </si>
  <si>
    <r>
      <t>郑</t>
    </r>
    <r>
      <rPr>
        <sz val="11"/>
        <color theme="1"/>
        <rFont val="ＭＳ Ｐゴシック"/>
        <family val="3"/>
        <charset val="128"/>
        <scheme val="minor"/>
      </rPr>
      <t>光先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</si>
  <si>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州珍酒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酒有限公司</t>
    </r>
  </si>
  <si>
    <r>
      <t>白酒;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威士忌; 果酒（含酒精）; 利口酒;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</t>
    </r>
  </si>
  <si>
    <t>周丙恒珍藏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</si>
  <si>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州周茅酒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</si>
  <si>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青稞酒; 白酒; 果酒; 清酒; 高粱酒;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威士忌; 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黄酒</t>
    </r>
  </si>
  <si>
    <r>
      <t>金</t>
    </r>
    <r>
      <rPr>
        <sz val="11"/>
        <color theme="1"/>
        <rFont val="ＭＳ Ｐゴシック"/>
        <family val="3"/>
        <charset val="134"/>
        <scheme val="minor"/>
      </rPr>
      <t>刚</t>
    </r>
    <r>
      <rPr>
        <sz val="11"/>
        <color theme="1"/>
        <rFont val="ＭＳ Ｐゴシック"/>
        <family val="3"/>
        <charset val="128"/>
        <scheme val="minor"/>
      </rPr>
      <t>献醴</t>
    </r>
  </si>
  <si>
    <r>
      <t>挺</t>
    </r>
    <r>
      <rPr>
        <sz val="11"/>
        <color theme="1"/>
        <rFont val="ＭＳ Ｐゴシック"/>
        <family val="3"/>
        <charset val="134"/>
        <scheme val="minor"/>
      </rPr>
      <t>进</t>
    </r>
    <r>
      <rPr>
        <sz val="11"/>
        <color theme="1"/>
        <rFont val="ＭＳ Ｐゴシック"/>
        <family val="3"/>
        <charset val="128"/>
        <scheme val="minor"/>
      </rPr>
      <t>（</t>
    </r>
    <r>
      <rPr>
        <sz val="11"/>
        <color theme="1"/>
        <rFont val="ＭＳ Ｐゴシック"/>
        <family val="3"/>
        <charset val="134"/>
        <scheme val="minor"/>
      </rPr>
      <t>乐</t>
    </r>
    <r>
      <rPr>
        <sz val="11"/>
        <color theme="1"/>
        <rFont val="ＭＳ Ｐゴシック"/>
        <family val="3"/>
        <charset val="128"/>
        <scheme val="minor"/>
      </rPr>
      <t>陵）文化</t>
    </r>
    <r>
      <rPr>
        <sz val="11"/>
        <color theme="1"/>
        <rFont val="ＭＳ Ｐゴシック"/>
        <family val="3"/>
        <charset val="134"/>
        <scheme val="minor"/>
      </rPr>
      <t>创</t>
    </r>
    <r>
      <rPr>
        <sz val="11"/>
        <color theme="1"/>
        <rFont val="ＭＳ Ｐゴシック"/>
        <family val="3"/>
        <charset val="128"/>
        <scheme val="minor"/>
      </rPr>
      <t>意</t>
    </r>
    <r>
      <rPr>
        <sz val="11"/>
        <color theme="1"/>
        <rFont val="ＭＳ Ｐゴシック"/>
        <family val="3"/>
        <charset val="134"/>
        <scheme val="minor"/>
      </rPr>
      <t>产业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</si>
  <si>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开胃酒; 蜂蜜酒; 米酒;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</t>
    </r>
  </si>
  <si>
    <t>荣誉清花</t>
  </si>
  <si>
    <r>
      <t>汾阳市晋通包装</t>
    </r>
    <r>
      <rPr>
        <sz val="11"/>
        <color theme="1"/>
        <rFont val="ＭＳ Ｐゴシック"/>
        <family val="3"/>
        <charset val="134"/>
        <scheme val="minor"/>
      </rPr>
      <t>设备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</si>
  <si>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果酒（含酒精）;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开胃酒; 蜂蜜酒; 黄酒; 米酒;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含酒精的水果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</si>
  <si>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镇</t>
    </r>
    <r>
      <rPr>
        <sz val="11"/>
        <color theme="1"/>
        <rFont val="ＭＳ Ｐゴシック"/>
        <family val="3"/>
        <charset val="128"/>
        <scheme val="minor"/>
      </rPr>
      <t>高</t>
    </r>
  </si>
  <si>
    <t>高志平</t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</si>
  <si>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梅酒; 葡萄酒; 白酒; 朗姆酒; 青梅酒; 果酒（含酒精）; 黄酒; 利口酒</t>
    </r>
  </si>
  <si>
    <r>
      <t>马</t>
    </r>
    <r>
      <rPr>
        <sz val="11"/>
        <color theme="1"/>
        <rFont val="ＭＳ Ｐゴシック"/>
        <family val="3"/>
        <charset val="128"/>
        <scheme val="minor"/>
      </rPr>
      <t>牌</t>
    </r>
    <r>
      <rPr>
        <sz val="11"/>
        <color theme="1"/>
        <rFont val="ＭＳ Ｐゴシック"/>
        <family val="3"/>
        <charset val="134"/>
        <scheme val="minor"/>
      </rPr>
      <t>鸿沣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</si>
  <si>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34"/>
        <scheme val="minor"/>
      </rPr>
      <t>马</t>
    </r>
    <r>
      <rPr>
        <sz val="11"/>
        <color theme="1"/>
        <rFont val="ＭＳ Ｐゴシック"/>
        <family val="3"/>
        <charset val="128"/>
        <scheme val="minor"/>
      </rPr>
      <t>牌酒厂有限公司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</si>
  <si>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 xml:space="preserve">汁; 蒸煮提取物（利口酒和烈酒）; 黄酒; 葡萄酒;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</t>
    </r>
  </si>
  <si>
    <t>艾墨 AMONG</t>
  </si>
  <si>
    <r>
      <t>铁</t>
    </r>
    <r>
      <rPr>
        <sz val="11"/>
        <color theme="1"/>
        <rFont val="ＭＳ Ｐゴシック"/>
        <family val="3"/>
        <charset val="128"/>
        <scheme val="minor"/>
      </rPr>
      <t>岭市</t>
    </r>
    <r>
      <rPr>
        <sz val="11"/>
        <color theme="1"/>
        <rFont val="ＭＳ Ｐゴシック"/>
        <family val="3"/>
        <charset val="134"/>
        <scheme val="minor"/>
      </rPr>
      <t>银</t>
    </r>
    <r>
      <rPr>
        <sz val="11"/>
        <color theme="1"/>
        <rFont val="ＭＳ Ｐゴシック"/>
        <family val="3"/>
        <charset val="128"/>
        <scheme val="minor"/>
      </rPr>
      <t>州区</t>
    </r>
    <r>
      <rPr>
        <sz val="11"/>
        <color theme="1"/>
        <rFont val="ＭＳ Ｐゴシック"/>
        <family val="3"/>
        <charset val="134"/>
        <scheme val="minor"/>
      </rPr>
      <t>创</t>
    </r>
    <r>
      <rPr>
        <sz val="11"/>
        <color theme="1"/>
        <rFont val="ＭＳ Ｐゴシック"/>
        <family val="3"/>
        <charset val="128"/>
        <scheme val="minor"/>
      </rPr>
      <t>意精</t>
    </r>
    <r>
      <rPr>
        <sz val="11"/>
        <color theme="1"/>
        <rFont val="ＭＳ Ｐゴシック"/>
        <family val="3"/>
        <charset val="134"/>
        <scheme val="minor"/>
      </rPr>
      <t>诚</t>
    </r>
    <r>
      <rPr>
        <sz val="11"/>
        <color theme="1"/>
        <rFont val="ＭＳ Ｐゴシック"/>
        <family val="3"/>
        <charset val="128"/>
        <scheme val="minor"/>
      </rPr>
      <t>广告部</t>
    </r>
  </si>
  <si>
    <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餐后酒（利口酒和烈酒）; 白酒; 果酒（含酒精）; 米酒;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</si>
  <si>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雨</t>
    </r>
    <r>
      <rPr>
        <sz val="11"/>
        <color theme="1"/>
        <rFont val="ＭＳ Ｐゴシック"/>
        <family val="3"/>
        <charset val="134"/>
        <scheme val="minor"/>
      </rPr>
      <t>轩</t>
    </r>
    <r>
      <rPr>
        <sz val="11"/>
        <color theme="1"/>
        <rFont val="ＭＳ Ｐゴシック"/>
        <family val="3"/>
        <charset val="128"/>
        <scheme val="minor"/>
      </rPr>
      <t>黄河</t>
    </r>
    <r>
      <rPr>
        <sz val="11"/>
        <color theme="1"/>
        <rFont val="ＭＳ Ｐゴシック"/>
        <family val="3"/>
        <charset val="134"/>
        <scheme val="minor"/>
      </rPr>
      <t>滩</t>
    </r>
    <r>
      <rPr>
        <sz val="11"/>
        <color theme="1"/>
        <rFont val="ＭＳ Ｐゴシック"/>
        <family val="3"/>
        <charset val="128"/>
        <scheme val="minor"/>
      </rPr>
      <t>羊</t>
    </r>
  </si>
  <si>
    <r>
      <t>新</t>
    </r>
    <r>
      <rPr>
        <sz val="11"/>
        <color theme="1"/>
        <rFont val="ＭＳ Ｐゴシック"/>
        <family val="3"/>
        <charset val="134"/>
        <scheme val="minor"/>
      </rPr>
      <t>乡</t>
    </r>
    <r>
      <rPr>
        <sz val="11"/>
        <color theme="1"/>
        <rFont val="ＭＳ Ｐゴシック"/>
        <family val="3"/>
        <charset val="128"/>
        <scheme val="minor"/>
      </rPr>
      <t>市雨</t>
    </r>
    <r>
      <rPr>
        <sz val="11"/>
        <color theme="1"/>
        <rFont val="ＭＳ Ｐゴシック"/>
        <family val="3"/>
        <charset val="134"/>
        <scheme val="minor"/>
      </rPr>
      <t>轩</t>
    </r>
    <r>
      <rPr>
        <sz val="11"/>
        <color theme="1"/>
        <rFont val="ＭＳ Ｐゴシック"/>
        <family val="3"/>
        <charset val="128"/>
        <scheme val="minor"/>
      </rPr>
      <t>清真食品股份有限公司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</si>
  <si>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开胃酒; 烈酒; 甜酒; 米酒; 清酒;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</t>
    </r>
  </si>
  <si>
    <t>福迎祥</t>
  </si>
  <si>
    <t>伍晋臣</t>
  </si>
  <si>
    <r>
      <t>葡萄酒; 威士忌; 青稞酒;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白酒;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</si>
  <si>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清沙</t>
    </r>
    <r>
      <rPr>
        <sz val="11"/>
        <color theme="1"/>
        <rFont val="ＭＳ Ｐゴシック"/>
        <family val="3"/>
        <charset val="134"/>
        <scheme val="minor"/>
      </rPr>
      <t>汉</t>
    </r>
    <r>
      <rPr>
        <sz val="11"/>
        <color theme="1"/>
        <rFont val="ＭＳ Ｐゴシック"/>
        <family val="3"/>
        <charset val="128"/>
        <scheme val="minor"/>
      </rPr>
      <t>清沙小</t>
    </r>
  </si>
  <si>
    <r>
      <t>闫</t>
    </r>
    <r>
      <rPr>
        <sz val="11"/>
        <color theme="1"/>
        <rFont val="ＭＳ Ｐゴシック"/>
        <family val="3"/>
        <charset val="128"/>
        <scheme val="minor"/>
      </rPr>
      <t>月琴</t>
    </r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</si>
  <si>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利口酒; 开胃酒; 葡萄酒; 青稞酒</t>
    </r>
  </si>
  <si>
    <t>晚·傣</t>
  </si>
  <si>
    <t>金玉后</t>
  </si>
  <si>
    <r>
      <t>果酒（含酒精）; 葡萄酒; 甘蔗制酒精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黄酒; 米酒; 苹果酒; 蜂蜜酒;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</t>
    </r>
  </si>
  <si>
    <t>斟醉</t>
  </si>
  <si>
    <t>胡代生</t>
  </si>
  <si>
    <r>
      <t>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清酒; 黄酒; 食用酒精</t>
    </r>
  </si>
  <si>
    <t>周丙恒臻品</t>
  </si>
  <si>
    <r>
      <t xml:space="preserve">青稞酒;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酒（烈酒）; 黄酒; 清酒;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高粱酒; 果酒; 烈酒</t>
    </r>
  </si>
  <si>
    <t>蔡毅</t>
  </si>
  <si>
    <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料(啤酒除外); 黄酒; 蒸煮提取物(利口酒和烈酒);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果酒; 清酒; 白酒; 开胃酒</t>
    </r>
  </si>
  <si>
    <r>
      <t>尝</t>
    </r>
    <r>
      <rPr>
        <sz val="11"/>
        <color theme="1"/>
        <rFont val="ＭＳ Ｐゴシック"/>
        <family val="3"/>
        <charset val="128"/>
        <scheme val="minor"/>
      </rPr>
      <t>自在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</si>
  <si>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</t>
    </r>
    <r>
      <rPr>
        <sz val="11"/>
        <color theme="1"/>
        <rFont val="ＭＳ Ｐゴシック"/>
        <family val="3"/>
        <charset val="134"/>
        <scheme val="minor"/>
      </rPr>
      <t>尘</t>
    </r>
    <r>
      <rPr>
        <sz val="11"/>
        <color theme="1"/>
        <rFont val="ＭＳ Ｐゴシック"/>
        <family val="3"/>
        <charset val="128"/>
        <scheme val="minor"/>
      </rPr>
      <t>世</t>
    </r>
    <r>
      <rPr>
        <sz val="11"/>
        <color theme="1"/>
        <rFont val="ＭＳ Ｐゴシック"/>
        <family val="3"/>
        <charset val="134"/>
        <scheme val="minor"/>
      </rPr>
      <t>间</t>
    </r>
    <r>
      <rPr>
        <sz val="11"/>
        <color theme="1"/>
        <rFont val="ＭＳ Ｐゴシック"/>
        <family val="3"/>
        <charset val="128"/>
        <scheme val="minor"/>
      </rPr>
      <t>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</si>
  <si>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烈酒; 葡萄酒; 高粱酒; 果酒;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利口酒; 黄酒</t>
    </r>
  </si>
  <si>
    <t>YAZU</t>
  </si>
  <si>
    <r>
      <t>上海丹魄网</t>
    </r>
    <r>
      <rPr>
        <sz val="11"/>
        <color theme="1"/>
        <rFont val="ＭＳ Ｐゴシック"/>
        <family val="3"/>
        <charset val="134"/>
        <scheme val="minor"/>
      </rPr>
      <t>络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</si>
  <si>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伏特加酒; 白酒;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朗姆酒; 清酒（日本米酒）</t>
    </r>
  </si>
  <si>
    <t>脩无</t>
  </si>
  <si>
    <r>
      <t>信阳其峰</t>
    </r>
    <r>
      <rPr>
        <sz val="11"/>
        <color theme="1"/>
        <rFont val="ＭＳ Ｐゴシック"/>
        <family val="3"/>
        <charset val="134"/>
        <scheme val="minor"/>
      </rPr>
      <t>实业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</si>
  <si>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白酒; 葡萄酒; 黄酒;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</si>
  <si>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周丙恒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坊</t>
    </r>
  </si>
  <si>
    <r>
      <t xml:space="preserve">威士忌; 烈酒; 高粱酒; 白酒; 青稞酒; 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黄酒</t>
    </r>
  </si>
  <si>
    <t>万 喝万醉</t>
  </si>
  <si>
    <r>
      <t>山西汾老大酒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</si>
  <si>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果酒（含酒精）; 米酒; 青稞酒; 黄酒; 白酒; 烈酒; 高粱酒; 葡萄酒; 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</si>
  <si>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丁加浪</t>
  </si>
  <si>
    <r>
      <t xml:space="preserve">白酒; 清酒; 果酒（含酒精）;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黄酒;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</si>
  <si>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粮窖天下</t>
  </si>
  <si>
    <r>
      <t>张</t>
    </r>
    <r>
      <rPr>
        <sz val="11"/>
        <color theme="1"/>
        <rFont val="ＭＳ Ｐゴシック"/>
        <family val="3"/>
        <charset val="128"/>
        <scheme val="minor"/>
      </rPr>
      <t>璐</t>
    </r>
    <r>
      <rPr>
        <sz val="11"/>
        <color theme="1"/>
        <rFont val="ＭＳ Ｐゴシック"/>
        <family val="3"/>
        <charset val="134"/>
        <scheme val="minor"/>
      </rPr>
      <t>颖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</si>
  <si>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白干酒（中国白酒）;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的白酒;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白酒; 果酒;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酒; 高粱酒;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</si>
  <si>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竹塘涌泉</t>
  </si>
  <si>
    <r>
      <t>谢桥</t>
    </r>
    <r>
      <rPr>
        <sz val="11"/>
        <color theme="1"/>
        <rFont val="ＭＳ Ｐゴシック"/>
        <family val="3"/>
        <charset val="128"/>
        <scheme val="minor"/>
      </rPr>
      <t>生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</si>
  <si>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米酒; 白酒; 威士忌; 葡萄酒;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</t>
    </r>
  </si>
  <si>
    <r>
      <t>马</t>
    </r>
    <r>
      <rPr>
        <sz val="11"/>
        <color theme="1"/>
        <rFont val="ＭＳ Ｐゴシック"/>
        <family val="3"/>
        <charset val="128"/>
        <scheme val="minor"/>
      </rPr>
      <t>牌</t>
    </r>
    <r>
      <rPr>
        <sz val="11"/>
        <color theme="1"/>
        <rFont val="ＭＳ Ｐゴシック"/>
        <family val="3"/>
        <charset val="134"/>
        <scheme val="minor"/>
      </rPr>
      <t>蓝</t>
    </r>
    <r>
      <rPr>
        <sz val="11"/>
        <color theme="1"/>
        <rFont val="ＭＳ Ｐゴシック"/>
        <family val="3"/>
        <charset val="128"/>
        <scheme val="minor"/>
      </rPr>
      <t>盟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</si>
  <si>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蒸煮提取物（利口酒和烈酒）;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 xml:space="preserve">汁; 食用酒精; 白酒;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</t>
    </r>
  </si>
  <si>
    <t>灵食堂</t>
  </si>
  <si>
    <r>
      <t>刘炳</t>
    </r>
    <r>
      <rPr>
        <sz val="11"/>
        <color theme="1"/>
        <rFont val="ＭＳ Ｐゴシック"/>
        <family val="3"/>
        <charset val="134"/>
        <scheme val="minor"/>
      </rPr>
      <t>军</t>
    </r>
  </si>
  <si>
    <r>
      <t>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青稞酒; 威末酒; 米酒; 清酒; 杜松子酒;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露酒;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</si>
  <si>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t>周丙恒匠心</t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</si>
  <si>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果酒; 青稞酒; 白酒;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烈酒; 高粱酒; 清酒; 黄酒</t>
    </r>
  </si>
  <si>
    <r>
      <t>守</t>
    </r>
    <r>
      <rPr>
        <sz val="11"/>
        <color theme="1"/>
        <rFont val="ＭＳ Ｐゴシック"/>
        <family val="3"/>
        <charset val="134"/>
        <scheme val="minor"/>
      </rPr>
      <t>门</t>
    </r>
    <r>
      <rPr>
        <sz val="11"/>
        <color theme="1"/>
        <rFont val="ＭＳ Ｐゴシック"/>
        <family val="3"/>
        <charset val="128"/>
        <scheme val="minor"/>
      </rPr>
      <t>台</t>
    </r>
  </si>
  <si>
    <t>林杰</t>
  </si>
  <si>
    <r>
      <t>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高粱酒; 食用酒精; 清酒</t>
    </r>
  </si>
  <si>
    <r>
      <t>琼乡</t>
    </r>
    <r>
      <rPr>
        <sz val="11"/>
        <color theme="1"/>
        <rFont val="ＭＳ Ｐゴシック"/>
        <family val="3"/>
        <charset val="128"/>
        <scheme val="minor"/>
      </rPr>
      <t>里</t>
    </r>
  </si>
  <si>
    <t>胖倌有限公司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</si>
  <si>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米酒; 高粱酒;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黄酒</t>
    </r>
  </si>
  <si>
    <t>周丙恒酒坊</t>
  </si>
  <si>
    <r>
      <t xml:space="preserve">白酒; 威士忌; 烈酒; 高粱酒;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酒（烈酒）; 果酒; 清酒; 青稞酒;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</t>
    </r>
  </si>
  <si>
    <t>榴玉林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</si>
  <si>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州大广隆装</t>
    </r>
    <r>
      <rPr>
        <sz val="11"/>
        <color theme="1"/>
        <rFont val="ＭＳ Ｐゴシック"/>
        <family val="3"/>
        <charset val="134"/>
        <scheme val="minor"/>
      </rPr>
      <t>饰</t>
    </r>
    <r>
      <rPr>
        <sz val="11"/>
        <color theme="1"/>
        <rFont val="ＭＳ Ｐゴシック"/>
        <family val="3"/>
        <charset val="128"/>
        <scheme val="minor"/>
      </rPr>
      <t>材料有限公司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</si>
  <si>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白酒; 青稞酒;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威士忌</t>
    </r>
  </si>
  <si>
    <r>
      <t>江山九叔</t>
    </r>
    <r>
      <rPr>
        <sz val="11"/>
        <color theme="1"/>
        <rFont val="ＭＳ Ｐゴシック"/>
        <family val="3"/>
        <charset val="134"/>
        <scheme val="minor"/>
      </rPr>
      <t>记</t>
    </r>
  </si>
  <si>
    <t>何夏云</t>
  </si>
  <si>
    <r>
      <t xml:space="preserve">白酒; 果酒（含酒精）; 威士忌; 伏特加酒;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米酒; 朗姆酒;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黄酒</t>
    </r>
  </si>
  <si>
    <t>祝允明</t>
  </si>
  <si>
    <r>
      <t>陈</t>
    </r>
    <r>
      <rPr>
        <sz val="11"/>
        <color theme="1"/>
        <rFont val="ＭＳ Ｐゴシック"/>
        <family val="3"/>
        <charset val="128"/>
        <scheme val="minor"/>
      </rPr>
      <t>国文</t>
    </r>
  </si>
  <si>
    <r>
      <t>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汽酒; 果酒; 葡萄酒; 露酒; 梅酒; 黄酒; 白酒;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</si>
  <si>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拼者</t>
  </si>
  <si>
    <r>
      <t>拼者酒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</si>
  <si>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米酒; 青稞酒; 清酒（日本米酒）; 威士忌; 白酒; 黄酒; 果酒（含酒精）;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</si>
  <si>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杯酒</t>
    </r>
    <r>
      <rPr>
        <sz val="11"/>
        <color theme="1"/>
        <rFont val="ＭＳ Ｐゴシック"/>
        <family val="3"/>
        <charset val="134"/>
        <scheme val="minor"/>
      </rPr>
      <t>风</t>
    </r>
    <r>
      <rPr>
        <sz val="11"/>
        <color theme="1"/>
        <rFont val="ＭＳ Ｐゴシック"/>
        <family val="3"/>
        <charset val="128"/>
        <scheme val="minor"/>
      </rPr>
      <t>云</t>
    </r>
  </si>
  <si>
    <t>吴志杰</t>
  </si>
  <si>
    <r>
      <t>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烈酒; 葡萄酒; 果酒（含酒精）; 开胃酒; 威士忌; 清酒（日本米酒）</t>
    </r>
  </si>
  <si>
    <r>
      <t>纳</t>
    </r>
    <r>
      <rPr>
        <sz val="11"/>
        <color theme="1"/>
        <rFont val="ＭＳ Ｐゴシック"/>
        <family val="3"/>
        <charset val="128"/>
        <scheme val="minor"/>
      </rPr>
      <t>九川</t>
    </r>
  </si>
  <si>
    <r>
      <t>息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旭日</t>
    </r>
    <r>
      <rPr>
        <sz val="11"/>
        <color theme="1"/>
        <rFont val="ＭＳ Ｐゴシック"/>
        <family val="3"/>
        <charset val="134"/>
        <scheme val="minor"/>
      </rPr>
      <t>农产</t>
    </r>
    <r>
      <rPr>
        <sz val="11"/>
        <color theme="1"/>
        <rFont val="ＭＳ Ｐゴシック"/>
        <family val="3"/>
        <charset val="128"/>
        <scheme val="minor"/>
      </rPr>
      <t>品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</si>
  <si>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葡萄酒; 开胃酒; 果酒（含酒精）; 黄酒;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烈酒;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白酒</t>
    </r>
  </si>
  <si>
    <r>
      <t>上海茶来酒去</t>
    </r>
    <r>
      <rPr>
        <sz val="11"/>
        <color theme="1"/>
        <rFont val="ＭＳ Ｐゴシック"/>
        <family val="3"/>
        <charset val="134"/>
        <scheme val="minor"/>
      </rPr>
      <t>实业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</si>
  <si>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威士忌;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葡萄酒</t>
    </r>
  </si>
  <si>
    <t>仁率</t>
  </si>
  <si>
    <r>
      <t>张</t>
    </r>
    <r>
      <rPr>
        <sz val="11"/>
        <color theme="1"/>
        <rFont val="ＭＳ Ｐゴシック"/>
        <family val="3"/>
        <charset val="128"/>
        <scheme val="minor"/>
      </rPr>
      <t>高翼</t>
    </r>
  </si>
  <si>
    <r>
      <t xml:space="preserve">蒸煮提取物（利口酒和烈酒）; 高粱酒; 葡萄酒;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白酒; 米酒; 露酒</t>
    </r>
  </si>
  <si>
    <t>沈西金</t>
  </si>
  <si>
    <r>
      <t>苹果酒;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果酒（含酒精）; 白酒;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餐后酒（利口酒和烈酒）; 葡萄酒; 露酒;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</si>
  <si>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仁孝四</t>
    </r>
    <r>
      <rPr>
        <sz val="11"/>
        <color theme="1"/>
        <rFont val="ＭＳ Ｐゴシック"/>
        <family val="3"/>
        <charset val="134"/>
        <scheme val="minor"/>
      </rPr>
      <t>泽</t>
    </r>
  </si>
  <si>
    <r>
      <t>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省四</t>
    </r>
    <r>
      <rPr>
        <sz val="11"/>
        <color theme="1"/>
        <rFont val="ＭＳ Ｐゴシック"/>
        <family val="3"/>
        <charset val="134"/>
        <scheme val="minor"/>
      </rPr>
      <t>泽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</si>
  <si>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清酒（日本米酒）;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白酒; 米酒;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</si>
  <si>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州茅台</t>
    </r>
    <r>
      <rPr>
        <sz val="11"/>
        <color theme="1"/>
        <rFont val="ＭＳ Ｐゴシック"/>
        <family val="3"/>
        <charset val="134"/>
        <scheme val="minor"/>
      </rPr>
      <t>酱</t>
    </r>
    <r>
      <rPr>
        <sz val="11"/>
        <color theme="1"/>
        <rFont val="ＭＳ Ｐゴシック"/>
        <family val="3"/>
        <charset val="128"/>
        <scheme val="minor"/>
      </rPr>
      <t>香酒</t>
    </r>
    <r>
      <rPr>
        <sz val="11"/>
        <color theme="1"/>
        <rFont val="ＭＳ Ｐゴシック"/>
        <family val="3"/>
        <charset val="134"/>
        <scheme val="minor"/>
      </rPr>
      <t>营销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</si>
  <si>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食用酒精;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果酒（含酒精）; 黄酒;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</si>
  <si>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t>南清曲</t>
  </si>
  <si>
    <r>
      <t>云南云酒</t>
    </r>
    <r>
      <rPr>
        <sz val="11"/>
        <color theme="1"/>
        <rFont val="ＭＳ Ｐゴシック"/>
        <family val="3"/>
        <charset val="134"/>
        <scheme val="minor"/>
      </rPr>
      <t>电</t>
    </r>
    <r>
      <rPr>
        <sz val="11"/>
        <color theme="1"/>
        <rFont val="ＭＳ Ｐゴシック"/>
        <family val="3"/>
        <charset val="128"/>
        <scheme val="minor"/>
      </rPr>
      <t>子商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</si>
  <si>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t>露酒; 甜酒; 葡萄酒; 白酒; 白干酒（中国白酒）; 果酒; 食用酒精; 烈酒; 米酒; 清酒</t>
  </si>
  <si>
    <r>
      <t>阔</t>
    </r>
    <r>
      <rPr>
        <sz val="11"/>
        <color theme="1"/>
        <rFont val="ＭＳ Ｐゴシック"/>
        <family val="3"/>
        <charset val="128"/>
        <scheme val="minor"/>
      </rPr>
      <t>养</t>
    </r>
  </si>
  <si>
    <r>
      <t>海南</t>
    </r>
    <r>
      <rPr>
        <sz val="11"/>
        <color theme="1"/>
        <rFont val="ＭＳ Ｐゴシック"/>
        <family val="3"/>
        <charset val="134"/>
        <scheme val="minor"/>
      </rPr>
      <t>阔</t>
    </r>
    <r>
      <rPr>
        <sz val="11"/>
        <color theme="1"/>
        <rFont val="ＭＳ Ｐゴシック"/>
        <family val="3"/>
        <charset val="128"/>
        <scheme val="minor"/>
      </rPr>
      <t>养生物科技有限公司</t>
    </r>
  </si>
  <si>
    <r>
      <t xml:space="preserve">清酒;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果酒（含酒精）; 葡萄酒; 伏特加酒; 黄酒; 白酒; 露酒; 米酒</t>
    </r>
  </si>
  <si>
    <t>沁滋</t>
  </si>
  <si>
    <r>
      <t>山西天滋</t>
    </r>
    <r>
      <rPr>
        <sz val="11"/>
        <color theme="1"/>
        <rFont val="ＭＳ Ｐゴシック"/>
        <family val="3"/>
        <charset val="134"/>
        <scheme val="minor"/>
      </rPr>
      <t>实业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</si>
  <si>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>酒; 米酒; 葡萄酒;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蜂蜜酒;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黄酒</t>
    </r>
  </si>
  <si>
    <r>
      <t xml:space="preserve">威士忌; 青稞酒; 清酒（日本米酒）; 白酒; 米酒;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</si>
  <si>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寿生淳</t>
  </si>
  <si>
    <r>
      <t>金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小</t>
    </r>
    <r>
      <rPr>
        <sz val="11"/>
        <color theme="1"/>
        <rFont val="ＭＳ Ｐゴシック"/>
        <family val="3"/>
        <charset val="134"/>
        <scheme val="minor"/>
      </rPr>
      <t>邹鲁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</si>
  <si>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黄酒; 白酒; 开胃酒;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</si>
  <si>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t>康霸四海</t>
  </si>
  <si>
    <r>
      <t>广西南宁</t>
    </r>
    <r>
      <rPr>
        <sz val="11"/>
        <color theme="1"/>
        <rFont val="ＭＳ Ｐゴシック"/>
        <family val="3"/>
        <charset val="134"/>
        <scheme val="minor"/>
      </rPr>
      <t>专</t>
    </r>
    <r>
      <rPr>
        <sz val="11"/>
        <color theme="1"/>
        <rFont val="ＭＳ Ｐゴシック"/>
        <family val="3"/>
        <charset val="128"/>
        <scheme val="minor"/>
      </rPr>
      <t>致生物科技有限公司</t>
    </r>
  </si>
  <si>
    <r>
      <t>米酒; 蝮蛇酒; 果酒（含酒精）; 甘蔗汁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朗姆酒; 甜酒; 葡萄酒; 白酒; 黄酒; 露酒; 烈酒</t>
    </r>
  </si>
  <si>
    <t>尖崖</t>
  </si>
  <si>
    <t>行唐桂隆食品有限公司</t>
  </si>
  <si>
    <r>
      <t xml:space="preserve">开胃酒; 黄酒; 米酒; 白酒; 伏特加酒;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果酒（含酒精）</t>
    </r>
  </si>
  <si>
    <r>
      <t>社</t>
    </r>
    <r>
      <rPr>
        <sz val="11"/>
        <color theme="1"/>
        <rFont val="ＭＳ Ｐゴシック"/>
        <family val="3"/>
        <charset val="134"/>
        <scheme val="minor"/>
      </rPr>
      <t>队</t>
    </r>
    <r>
      <rPr>
        <sz val="11"/>
        <color theme="1"/>
        <rFont val="ＭＳ Ｐゴシック"/>
        <family val="3"/>
        <charset val="128"/>
        <scheme val="minor"/>
      </rPr>
      <t>古坊</t>
    </r>
  </si>
  <si>
    <r>
      <t>河南瑞</t>
    </r>
    <r>
      <rPr>
        <sz val="11"/>
        <color theme="1"/>
        <rFont val="ＭＳ Ｐゴシック"/>
        <family val="3"/>
        <charset val="134"/>
        <scheme val="minor"/>
      </rPr>
      <t>轩</t>
    </r>
    <r>
      <rPr>
        <sz val="11"/>
        <color theme="1"/>
        <rFont val="ＭＳ Ｐゴシック"/>
        <family val="3"/>
        <charset val="128"/>
        <scheme val="minor"/>
      </rPr>
      <t>隆</t>
    </r>
    <r>
      <rPr>
        <sz val="11"/>
        <color theme="1"/>
        <rFont val="ＭＳ Ｐゴシック"/>
        <family val="3"/>
        <charset val="134"/>
        <scheme val="minor"/>
      </rPr>
      <t>实业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</si>
  <si>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葡萄酒;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米酒; 高粱酒;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果酒; 黄酒</t>
    </r>
  </si>
  <si>
    <r>
      <t>银</t>
    </r>
    <r>
      <rPr>
        <sz val="11"/>
        <color theme="1"/>
        <rFont val="ＭＳ Ｐゴシック"/>
        <family val="3"/>
        <charset val="128"/>
        <scheme val="minor"/>
      </rPr>
      <t>河</t>
    </r>
    <r>
      <rPr>
        <sz val="11"/>
        <color theme="1"/>
        <rFont val="ＭＳ Ｐゴシック"/>
        <family val="3"/>
        <charset val="134"/>
        <scheme val="minor"/>
      </rPr>
      <t>护卫队</t>
    </r>
  </si>
  <si>
    <r>
      <t>北京</t>
    </r>
    <r>
      <rPr>
        <sz val="11"/>
        <color theme="1"/>
        <rFont val="ＭＳ Ｐゴシック"/>
        <family val="3"/>
        <charset val="134"/>
        <scheme val="minor"/>
      </rPr>
      <t>银</t>
    </r>
    <r>
      <rPr>
        <sz val="11"/>
        <color theme="1"/>
        <rFont val="ＭＳ Ｐゴシック"/>
        <family val="3"/>
        <charset val="128"/>
        <scheme val="minor"/>
      </rPr>
      <t>河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研科技有限公司</t>
    </r>
  </si>
  <si>
    <r>
      <t>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日本梅子酒; 葡萄酒; 白酒; 黄酒; 果酒;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</si>
  <si>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格</t>
    </r>
    <r>
      <rPr>
        <sz val="11"/>
        <color theme="1"/>
        <rFont val="ＭＳ Ｐゴシック"/>
        <family val="3"/>
        <charset val="134"/>
        <scheme val="minor"/>
      </rPr>
      <t>闹</t>
    </r>
    <r>
      <rPr>
        <sz val="11"/>
        <color theme="1"/>
        <rFont val="ＭＳ Ｐゴシック"/>
        <family val="3"/>
        <charset val="128"/>
        <scheme val="minor"/>
      </rPr>
      <t>芒</t>
    </r>
  </si>
  <si>
    <r>
      <t>上海暖</t>
    </r>
    <r>
      <rPr>
        <sz val="11"/>
        <color theme="1"/>
        <rFont val="ＭＳ Ｐゴシック"/>
        <family val="3"/>
        <charset val="134"/>
        <scheme val="minor"/>
      </rPr>
      <t>盏</t>
    </r>
    <r>
      <rPr>
        <sz val="11"/>
        <color theme="1"/>
        <rFont val="ＭＳ Ｐゴシック"/>
        <family val="3"/>
        <charset val="128"/>
        <scheme val="minor"/>
      </rPr>
      <t>文化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</si>
  <si>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白酒; 朗姆酒;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</si>
  <si>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大河之南紫陶坊</t>
  </si>
  <si>
    <r>
      <t>德州德公酒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</si>
  <si>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白酒; 清酒（日本米酒）; 食用酒精;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伏特加酒</t>
    </r>
  </si>
  <si>
    <r>
      <t>晋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天 酒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</si>
  <si>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清酒（日本米酒）; 葡萄酒; 威士忌; 白酒; 米酒; 黄酒; 蜂蜜酒; 果酒（含酒精）</t>
    </r>
  </si>
  <si>
    <t>瓦窑坪</t>
  </si>
  <si>
    <r>
      <t>中投国泰（深圳）金融投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</si>
  <si>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汽酒; 清酒（日本米酒）;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蜂蜜酒; 葡萄酒; 白酒; 苹果酒;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开胃酒</t>
    </r>
  </si>
  <si>
    <t>JOOPNN JIMMFONN</t>
  </si>
  <si>
    <r>
      <t>草本金方健康科技（广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）有限公司</t>
    </r>
  </si>
  <si>
    <r>
      <t>白酒; 果酒（含酒精）; 葡萄酒; 甜酒; 白葡萄酒;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</si>
  <si>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民生</t>
    </r>
    <r>
      <rPr>
        <sz val="11"/>
        <color theme="1"/>
        <rFont val="ＭＳ Ｐゴシック"/>
        <family val="3"/>
        <charset val="134"/>
        <scheme val="minor"/>
      </rPr>
      <t>龙</t>
    </r>
  </si>
  <si>
    <r>
      <t>中国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本股份有限公司</t>
    </r>
  </si>
  <si>
    <r>
      <t xml:space="preserve">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黄酒; 食用酒精</t>
    </r>
  </si>
  <si>
    <t>徽墨人家紫陶坊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</si>
  <si>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州台老大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酒有限公司</t>
    </r>
  </si>
  <si>
    <r>
      <t xml:space="preserve">果酒（含酒精）;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伏特加酒; 葡萄酒</t>
    </r>
  </si>
  <si>
    <r>
      <t>温祖</t>
    </r>
    <r>
      <rPr>
        <sz val="11"/>
        <color theme="1"/>
        <rFont val="ＭＳ Ｐゴシック"/>
        <family val="3"/>
        <charset val="134"/>
        <scheme val="minor"/>
      </rPr>
      <t>义</t>
    </r>
    <r>
      <rPr>
        <sz val="11"/>
        <color theme="1"/>
        <rFont val="ＭＳ Ｐゴシック"/>
        <family val="3"/>
        <charset val="128"/>
        <scheme val="minor"/>
      </rPr>
      <t xml:space="preserve"> 以酒会友</t>
    </r>
  </si>
  <si>
    <r>
      <t>马</t>
    </r>
    <r>
      <rPr>
        <sz val="11"/>
        <color theme="1"/>
        <rFont val="ＭＳ Ｐゴシック"/>
        <family val="3"/>
        <charset val="128"/>
        <scheme val="minor"/>
      </rPr>
      <t>祖名品（厦</t>
    </r>
    <r>
      <rPr>
        <sz val="11"/>
        <color theme="1"/>
        <rFont val="ＭＳ Ｐゴシック"/>
        <family val="3"/>
        <charset val="134"/>
        <scheme val="minor"/>
      </rPr>
      <t>门</t>
    </r>
    <r>
      <rPr>
        <sz val="11"/>
        <color theme="1"/>
        <rFont val="ＭＳ Ｐゴシック"/>
        <family val="3"/>
        <charset val="128"/>
        <scheme val="minor"/>
      </rPr>
      <t>）酒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</si>
  <si>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威士忌; 白酒; 葡萄酒; 薄荷酒; 蒸煮提取物（利口酒和烈酒）;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</si>
  <si>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檀瑞</t>
    </r>
    <r>
      <rPr>
        <sz val="11"/>
        <color theme="1"/>
        <rFont val="ＭＳ Ｐゴシック"/>
        <family val="3"/>
        <charset val="134"/>
        <scheme val="minor"/>
      </rPr>
      <t>轩</t>
    </r>
  </si>
  <si>
    <r>
      <t>邵青</t>
    </r>
    <r>
      <rPr>
        <sz val="11"/>
        <color theme="1"/>
        <rFont val="ＭＳ Ｐゴシック"/>
        <family val="3"/>
        <charset val="134"/>
        <scheme val="minor"/>
      </rPr>
      <t>华</t>
    </r>
  </si>
  <si>
    <r>
      <t>青稞酒; 果酒（含酒精）;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威士忌; 利口酒;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茴香酒;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</si>
  <si>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市茅台</t>
    </r>
    <r>
      <rPr>
        <sz val="11"/>
        <color theme="1"/>
        <rFont val="ＭＳ Ｐゴシック"/>
        <family val="3"/>
        <charset val="134"/>
        <scheme val="minor"/>
      </rPr>
      <t>镇</t>
    </r>
    <r>
      <rPr>
        <sz val="11"/>
        <color theme="1"/>
        <rFont val="ＭＳ Ｐゴシック"/>
        <family val="3"/>
        <charset val="128"/>
        <scheme val="minor"/>
      </rPr>
      <t>台泉酒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</si>
  <si>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食用酒精;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白酒;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餐后酒（利口酒和烈酒）</t>
    </r>
  </si>
  <si>
    <t>楠增园</t>
  </si>
  <si>
    <t>黄常志</t>
  </si>
  <si>
    <r>
      <t>白酒; 开胃酒; 米酒; 威士忌; 青稞酒; 果酒（含酒精）; 葡萄酒; 烈酒;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食用酒精</t>
    </r>
  </si>
  <si>
    <t>爱亲贝贝</t>
  </si>
  <si>
    <r>
      <t>爱亲</t>
    </r>
    <r>
      <rPr>
        <sz val="11"/>
        <color theme="1"/>
        <rFont val="ＭＳ Ｐゴシック"/>
        <family val="3"/>
        <charset val="128"/>
        <scheme val="minor"/>
      </rPr>
      <t>母</t>
    </r>
    <r>
      <rPr>
        <sz val="11"/>
        <color theme="1"/>
        <rFont val="ＭＳ Ｐゴシック"/>
        <family val="3"/>
        <charset val="134"/>
        <scheme val="minor"/>
      </rPr>
      <t>婴</t>
    </r>
    <r>
      <rPr>
        <sz val="11"/>
        <color theme="1"/>
        <rFont val="ＭＳ Ｐゴシック"/>
        <family val="3"/>
        <charset val="128"/>
        <scheme val="minor"/>
      </rPr>
      <t>商</t>
    </r>
    <r>
      <rPr>
        <sz val="11"/>
        <color theme="1"/>
        <rFont val="ＭＳ Ｐゴシック"/>
        <family val="3"/>
        <charset val="134"/>
        <scheme val="minor"/>
      </rPr>
      <t>业连锁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</si>
  <si>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</si>
  <si>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r>
      <t>水</t>
    </r>
    <r>
      <rPr>
        <sz val="11"/>
        <color theme="1"/>
        <rFont val="ＭＳ Ｐゴシック"/>
        <family val="3"/>
        <charset val="134"/>
        <scheme val="minor"/>
      </rPr>
      <t>绘</t>
    </r>
    <r>
      <rPr>
        <sz val="11"/>
        <color theme="1"/>
        <rFont val="ＭＳ Ｐゴシック"/>
        <family val="3"/>
        <charset val="128"/>
        <scheme val="minor"/>
      </rPr>
      <t>悠韵</t>
    </r>
  </si>
  <si>
    <t>洪棋</t>
  </si>
  <si>
    <r>
      <t>青稞酒; 米酒;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</si>
  <si>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t>径口佬</t>
  </si>
  <si>
    <t>中山市奥澄照明科技有限公司</t>
  </si>
  <si>
    <r>
      <t xml:space="preserve">米酒; 青稞酒;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</si>
  <si>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口迎孑</t>
    </r>
    <r>
      <rPr>
        <sz val="11"/>
        <color theme="1"/>
        <rFont val="ＭＳ Ｐゴシック"/>
        <family val="3"/>
        <charset val="134"/>
        <scheme val="minor"/>
      </rPr>
      <t>宾</t>
    </r>
  </si>
  <si>
    <r>
      <t>亳州市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抬</t>
    </r>
    <r>
      <rPr>
        <sz val="11"/>
        <color theme="1"/>
        <rFont val="ＭＳ Ｐゴシック"/>
        <family val="3"/>
        <charset val="134"/>
        <scheme val="minor"/>
      </rPr>
      <t>头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</si>
  <si>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黄酒; 威士忌</t>
    </r>
  </si>
  <si>
    <r>
      <t>上海市奉</t>
    </r>
    <r>
      <rPr>
        <sz val="11"/>
        <color theme="1"/>
        <rFont val="ＭＳ Ｐゴシック"/>
        <family val="3"/>
        <charset val="134"/>
        <scheme val="minor"/>
      </rPr>
      <t>贤</t>
    </r>
    <r>
      <rPr>
        <sz val="11"/>
        <color theme="1"/>
        <rFont val="ＭＳ Ｐゴシック"/>
        <family val="3"/>
        <charset val="128"/>
        <scheme val="minor"/>
      </rPr>
      <t>区博物</t>
    </r>
    <r>
      <rPr>
        <sz val="11"/>
        <color theme="1"/>
        <rFont val="ＭＳ Ｐゴシック"/>
        <family val="3"/>
        <charset val="134"/>
        <scheme val="minor"/>
      </rPr>
      <t>馆</t>
    </r>
  </si>
  <si>
    <r>
      <t>蜂蜜酒;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利口酒; 葡萄酒; 黄酒; 梨酒; 米酒; 果酒（含酒精）; 白酒</t>
    </r>
  </si>
  <si>
    <r>
      <t>北京辛海珍藏</t>
    </r>
    <r>
      <rPr>
        <sz val="11"/>
        <color theme="1"/>
        <rFont val="ＭＳ Ｐゴシック"/>
        <family val="3"/>
        <charset val="134"/>
        <scheme val="minor"/>
      </rPr>
      <t>馆</t>
    </r>
    <r>
      <rPr>
        <sz val="11"/>
        <color theme="1"/>
        <rFont val="ＭＳ Ｐゴシック"/>
        <family val="3"/>
        <charset val="128"/>
        <scheme val="minor"/>
      </rPr>
      <t>文化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</si>
  <si>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青稞酒;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白干酒（中国白酒）;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烈性干酒; 白酒; 黄酒; 米酒;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</t>
    </r>
  </si>
  <si>
    <t>北京集分文化体育有限公司</t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</si>
  <si>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烈性干酒; 白干酒（中国白酒）; 清酒; 白酒; 果酒（含酒精）; 利口酒;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酒（烈酒）;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</t>
    </r>
  </si>
  <si>
    <r>
      <t>琼岛</t>
    </r>
    <r>
      <rPr>
        <sz val="11"/>
        <color theme="1"/>
        <rFont val="ＭＳ Ｐゴシック"/>
        <family val="3"/>
        <charset val="128"/>
        <scheme val="minor"/>
      </rPr>
      <t>金泉</t>
    </r>
  </si>
  <si>
    <t>黄俊波</t>
  </si>
  <si>
    <r>
      <t>黄酒; 露酒;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食用酒精; 高粱酒; 葡萄酒; 烈酒;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</si>
  <si>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汉</t>
    </r>
    <r>
      <rPr>
        <sz val="11"/>
        <color theme="1"/>
        <rFont val="ＭＳ Ｐゴシック"/>
        <family val="3"/>
        <charset val="128"/>
        <scheme val="minor"/>
      </rPr>
      <t>匠坊老白洋</t>
    </r>
  </si>
  <si>
    <r>
      <t>宿迁市洋河新区</t>
    </r>
    <r>
      <rPr>
        <sz val="11"/>
        <color theme="1"/>
        <rFont val="ＭＳ Ｐゴシック"/>
        <family val="3"/>
        <charset val="134"/>
        <scheme val="minor"/>
      </rPr>
      <t>润</t>
    </r>
    <r>
      <rPr>
        <sz val="11"/>
        <color theme="1"/>
        <rFont val="ＭＳ Ｐゴシック"/>
        <family val="3"/>
        <charset val="128"/>
        <scheme val="minor"/>
      </rPr>
      <t>洋包装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</si>
  <si>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米酒;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</si>
  <si>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汉</t>
    </r>
    <r>
      <rPr>
        <sz val="11"/>
        <color theme="1"/>
        <rFont val="ＭＳ Ｐゴシック"/>
        <family val="3"/>
        <charset val="128"/>
        <scheme val="minor"/>
      </rPr>
      <t>仁妙医</t>
    </r>
  </si>
  <si>
    <r>
      <t>广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太大夫医</t>
    </r>
    <r>
      <rPr>
        <sz val="11"/>
        <color theme="1"/>
        <rFont val="ＭＳ Ｐゴシック"/>
        <family val="3"/>
        <charset val="134"/>
        <scheme val="minor"/>
      </rPr>
      <t>药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</si>
  <si>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 xml:space="preserve">米酒; 白酒; 蜂蜜酒; 葡萄酒; 露酒;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</t>
    </r>
  </si>
  <si>
    <r>
      <t>罗</t>
    </r>
    <r>
      <rPr>
        <sz val="11"/>
        <color theme="1"/>
        <rFont val="ＭＳ Ｐゴシック"/>
        <family val="3"/>
        <charset val="128"/>
        <scheme val="minor"/>
      </rPr>
      <t>曼利尼梵帝索</t>
    </r>
  </si>
  <si>
    <r>
      <t>广</t>
    </r>
    <r>
      <rPr>
        <sz val="11"/>
        <color theme="1"/>
        <rFont val="ＭＳ Ｐゴシック"/>
        <family val="3"/>
        <charset val="134"/>
        <scheme val="minor"/>
      </rPr>
      <t>东罗</t>
    </r>
    <r>
      <rPr>
        <sz val="11"/>
        <color theme="1"/>
        <rFont val="ＭＳ Ｐゴシック"/>
        <family val="3"/>
        <charset val="128"/>
        <scheme val="minor"/>
      </rPr>
      <t>曼拉菲国</t>
    </r>
    <r>
      <rPr>
        <sz val="11"/>
        <color theme="1"/>
        <rFont val="ＭＳ Ｐゴシック"/>
        <family val="3"/>
        <charset val="134"/>
        <scheme val="minor"/>
      </rPr>
      <t>际贸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</si>
  <si>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威士忌; 白葡萄酒;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米酒;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</si>
  <si>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增米</t>
  </si>
  <si>
    <r>
      <t>增米餐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</si>
  <si>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食用酒精; 葡萄酒; 威士忌; 汽酒;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白酒; 米酒; 青稞酒;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</si>
  <si>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贤荟</t>
  </si>
  <si>
    <r>
      <t>成都</t>
    </r>
    <r>
      <rPr>
        <sz val="11"/>
        <color theme="1"/>
        <rFont val="ＭＳ Ｐゴシック"/>
        <family val="3"/>
        <charset val="134"/>
        <scheme val="minor"/>
      </rPr>
      <t>贤</t>
    </r>
    <r>
      <rPr>
        <sz val="11"/>
        <color theme="1"/>
        <rFont val="ＭＳ Ｐゴシック"/>
        <family val="3"/>
        <charset val="128"/>
        <scheme val="minor"/>
      </rPr>
      <t>辰文化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</si>
  <si>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 xml:space="preserve">利口酒; 烈酒; 甜酒; 葡萄酒; 果酒; 朗姆酒;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</si>
  <si>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CHIRIMIRI</t>
  </si>
  <si>
    <r>
      <t>无限平方（深圳）咖啡餐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</si>
  <si>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葡萄酒; 威士忌; 黄酒;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</si>
  <si>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露卡</t>
    </r>
    <r>
      <rPr>
        <sz val="11"/>
        <color theme="1"/>
        <rFont val="ＭＳ Ｐゴシック"/>
        <family val="3"/>
        <charset val="134"/>
        <scheme val="minor"/>
      </rPr>
      <t>维</t>
    </r>
    <r>
      <rPr>
        <sz val="11"/>
        <color theme="1"/>
        <rFont val="ＭＳ Ｐゴシック"/>
        <family val="3"/>
        <charset val="128"/>
        <scheme val="minor"/>
      </rPr>
      <t>斯 LORCARVISS</t>
    </r>
  </si>
  <si>
    <t>段小燕</t>
  </si>
  <si>
    <r>
      <t>白酒;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朗姆酒;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果酒（含酒精）; 清酒（日本米酒）;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伏特加酒</t>
    </r>
  </si>
  <si>
    <t>鹿元丰</t>
  </si>
  <si>
    <r>
      <t>熊</t>
    </r>
    <r>
      <rPr>
        <sz val="11"/>
        <color theme="1"/>
        <rFont val="ＭＳ Ｐゴシック"/>
        <family val="3"/>
        <charset val="134"/>
        <scheme val="minor"/>
      </rPr>
      <t>亚</t>
    </r>
    <r>
      <rPr>
        <sz val="11"/>
        <color theme="1"/>
        <rFont val="ＭＳ Ｐゴシック"/>
        <family val="3"/>
        <charset val="128"/>
        <scheme val="minor"/>
      </rPr>
      <t>卅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</si>
  <si>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食用酒精; 白酒;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</t>
    </r>
  </si>
  <si>
    <t>言摘</t>
  </si>
  <si>
    <r>
      <t>河南拓达酒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</si>
  <si>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食用酒精; 米酒; 白酒; 青稞酒; 威士忌;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果酒（含酒精）</t>
    </r>
  </si>
  <si>
    <r>
      <t>众</t>
    </r>
    <r>
      <rPr>
        <sz val="11"/>
        <color theme="1"/>
        <rFont val="ＭＳ Ｐゴシック"/>
        <family val="3"/>
        <charset val="134"/>
        <scheme val="minor"/>
      </rPr>
      <t>爱</t>
    </r>
    <r>
      <rPr>
        <sz val="11"/>
        <color theme="1"/>
        <rFont val="ＭＳ Ｐゴシック"/>
        <family val="3"/>
        <charset val="128"/>
        <scheme val="minor"/>
      </rPr>
      <t>康精品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</si>
  <si>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市程</t>
    </r>
    <r>
      <rPr>
        <sz val="11"/>
        <color theme="1"/>
        <rFont val="ＭＳ Ｐゴシック"/>
        <family val="3"/>
        <charset val="134"/>
        <scheme val="minor"/>
      </rPr>
      <t>润陈</t>
    </r>
    <r>
      <rPr>
        <sz val="11"/>
        <color theme="1"/>
        <rFont val="ＭＳ Ｐゴシック"/>
        <family val="3"/>
        <charset val="128"/>
        <scheme val="minor"/>
      </rPr>
      <t>香酒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</si>
  <si>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葡萄酒; 利口酒; 米酒; 开胃酒;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果酒（含酒精）; 清酒（日本米酒）; 白酒</t>
    </r>
  </si>
  <si>
    <r>
      <t>红</t>
    </r>
    <r>
      <rPr>
        <sz val="11"/>
        <color theme="1"/>
        <rFont val="ＭＳ Ｐゴシック"/>
        <family val="3"/>
        <charset val="128"/>
        <scheme val="minor"/>
      </rPr>
      <t>云征</t>
    </r>
  </si>
  <si>
    <r>
      <t>百德酒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（广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）有限公司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</si>
  <si>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果酒（含酒精）; 食用酒精; 葡萄酒;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</si>
  <si>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r>
      <t>红</t>
    </r>
    <r>
      <rPr>
        <sz val="11"/>
        <color theme="1"/>
        <rFont val="ＭＳ Ｐゴシック"/>
        <family val="3"/>
        <charset val="128"/>
        <scheme val="minor"/>
      </rPr>
      <t>运征</t>
    </r>
  </si>
  <si>
    <r>
      <t>食用酒精;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果酒（含酒精）</t>
    </r>
  </si>
  <si>
    <r>
      <t xml:space="preserve">鑫粤港 </t>
    </r>
    <r>
      <rPr>
        <sz val="11"/>
        <color theme="1"/>
        <rFont val="ＭＳ Ｐゴシック"/>
        <family val="3"/>
        <charset val="134"/>
        <scheme val="minor"/>
      </rPr>
      <t>马</t>
    </r>
    <r>
      <rPr>
        <sz val="11"/>
        <color theme="1"/>
        <rFont val="ＭＳ Ｐゴシック"/>
        <family val="3"/>
        <charset val="128"/>
        <scheme val="minor"/>
      </rPr>
      <t>浩天</t>
    </r>
  </si>
  <si>
    <r>
      <t>马</t>
    </r>
    <r>
      <rPr>
        <sz val="11"/>
        <color theme="1"/>
        <rFont val="ＭＳ Ｐゴシック"/>
        <family val="3"/>
        <charset val="128"/>
        <scheme val="minor"/>
      </rPr>
      <t>浩天******************</t>
    </r>
  </si>
  <si>
    <r>
      <t xml:space="preserve">食用酒精; 果酒;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白酒; 葡萄酒; 高粱酒;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</si>
  <si>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百</t>
    </r>
    <r>
      <rPr>
        <sz val="11"/>
        <color theme="1"/>
        <rFont val="ＭＳ Ｐゴシック"/>
        <family val="3"/>
        <charset val="134"/>
        <scheme val="minor"/>
      </rPr>
      <t>莲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</si>
  <si>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江西九蝶湖酒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</si>
  <si>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烈酒;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米酒; 利口酒; 清酒; 白酒; 果酒（含酒精）; 葡萄酒</t>
    </r>
  </si>
  <si>
    <t>7AM2M</t>
  </si>
  <si>
    <r>
      <t>温州昶旺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</si>
  <si>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汽酒;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梅酒; 果酒（含酒精）; 食用酒精;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</t>
    </r>
  </si>
  <si>
    <t>邵苞花</t>
  </si>
  <si>
    <r>
      <t>邵玉</t>
    </r>
    <r>
      <rPr>
        <sz val="11"/>
        <color theme="1"/>
        <rFont val="ＭＳ Ｐゴシック"/>
        <family val="3"/>
        <charset val="134"/>
        <scheme val="minor"/>
      </rPr>
      <t>满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</si>
  <si>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高粱酒;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梨酒; 葡萄酒; 果酒; 苹果酒;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水果汽酒; 白酒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</si>
  <si>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葡萄酒; 果酒（含酒精）;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</si>
  <si>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GU DA JU</t>
  </si>
  <si>
    <r>
      <t>福州</t>
    </r>
    <r>
      <rPr>
        <sz val="11"/>
        <color theme="1"/>
        <rFont val="ＭＳ Ｐゴシック"/>
        <family val="3"/>
        <charset val="134"/>
        <scheme val="minor"/>
      </rPr>
      <t>顾</t>
    </r>
    <r>
      <rPr>
        <sz val="11"/>
        <color theme="1"/>
        <rFont val="ＭＳ Ｐゴシック"/>
        <family val="3"/>
        <charset val="128"/>
        <scheme val="minor"/>
      </rPr>
      <t>大局文化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播有限公司</t>
    </r>
  </si>
  <si>
    <r>
      <t xml:space="preserve">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高粱酒;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果酒; 白酒; 葡萄酒;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</si>
  <si>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功</t>
    </r>
    <r>
      <rPr>
        <sz val="11"/>
        <color theme="1"/>
        <rFont val="ＭＳ Ｐゴシック"/>
        <family val="3"/>
        <charset val="134"/>
        <scheme val="minor"/>
      </rPr>
      <t>赢</t>
    </r>
    <r>
      <rPr>
        <sz val="11"/>
        <color theme="1"/>
        <rFont val="ＭＳ Ｐゴシック"/>
        <family val="3"/>
        <charset val="128"/>
        <scheme val="minor"/>
      </rPr>
      <t>大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紫陶坊</t>
    </r>
  </si>
  <si>
    <r>
      <t>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清酒（日本米酒）;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食用酒精;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伏特加酒</t>
    </r>
  </si>
  <si>
    <r>
      <t>润桦</t>
    </r>
    <r>
      <rPr>
        <sz val="11"/>
        <color theme="1"/>
        <rFont val="ＭＳ Ｐゴシック"/>
        <family val="3"/>
        <charset val="128"/>
        <scheme val="minor"/>
      </rPr>
      <t>豪</t>
    </r>
  </si>
  <si>
    <t>皮俊</t>
  </si>
  <si>
    <r>
      <t>黄酒;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酒; 高粱酒; 葡萄酒; 露酒;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果酒（含酒精）;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白酒; 米酒</t>
    </r>
  </si>
  <si>
    <t>威裕大酒窖</t>
  </si>
  <si>
    <r>
      <t>付洋</t>
    </r>
    <r>
      <rPr>
        <sz val="11"/>
        <color theme="1"/>
        <rFont val="ＭＳ Ｐゴシック"/>
        <family val="3"/>
        <charset val="134"/>
        <scheme val="minor"/>
      </rPr>
      <t>铭</t>
    </r>
    <r>
      <rPr>
        <sz val="11"/>
        <color theme="1"/>
        <rFont val="ＭＳ Ｐゴシック"/>
        <family val="3"/>
        <charset val="128"/>
        <scheme val="minor"/>
      </rPr>
      <t>******************</t>
    </r>
  </si>
  <si>
    <r>
      <t>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清酒（日本米酒）;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威士忌</t>
    </r>
  </si>
  <si>
    <t>特亮山水</t>
  </si>
  <si>
    <r>
      <t>米酒; 青稞酒; 葡萄酒; 果酒;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威士忌</t>
    </r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</si>
  <si>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食用酒精; 露酒; 烈酒;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黄酒; 高粱酒; 果酒</t>
    </r>
  </si>
  <si>
    <r>
      <t>喜</t>
    </r>
    <r>
      <rPr>
        <sz val="11"/>
        <color theme="1"/>
        <rFont val="ＭＳ Ｐゴシック"/>
        <family val="3"/>
        <charset val="134"/>
        <scheme val="minor"/>
      </rPr>
      <t>铂汉</t>
    </r>
    <r>
      <rPr>
        <sz val="11"/>
        <color theme="1"/>
        <rFont val="ＭＳ Ｐゴシック"/>
        <family val="3"/>
        <charset val="128"/>
        <scheme val="minor"/>
      </rPr>
      <t>唐</t>
    </r>
  </si>
  <si>
    <r>
      <t>库递</t>
    </r>
    <r>
      <rPr>
        <sz val="11"/>
        <color theme="1"/>
        <rFont val="ＭＳ Ｐゴシック"/>
        <family val="3"/>
        <charset val="128"/>
        <scheme val="minor"/>
      </rPr>
      <t>（上海）国</t>
    </r>
    <r>
      <rPr>
        <sz val="11"/>
        <color theme="1"/>
        <rFont val="ＭＳ Ｐゴシック"/>
        <family val="3"/>
        <charset val="134"/>
        <scheme val="minor"/>
      </rPr>
      <t>际贸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</si>
  <si>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果酒（含酒精）; 黄酒; 餐后酒（利口酒和烈酒）; 葡萄酒;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威士忌; 米酒; 利口酒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</si>
  <si>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拜天下</t>
    </r>
  </si>
  <si>
    <t>刘玉霞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</si>
  <si>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黄酒; 果酒; 果酒（含酒精）; 清酒; 米酒; 白干酒（中国白酒）;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白酒; 葡萄酒</t>
    </r>
  </si>
  <si>
    <t>五小点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</si>
  <si>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州中食供</t>
    </r>
    <r>
      <rPr>
        <sz val="11"/>
        <color theme="1"/>
        <rFont val="ＭＳ Ｐゴシック"/>
        <family val="3"/>
        <charset val="134"/>
        <scheme val="minor"/>
      </rPr>
      <t>应链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</si>
  <si>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蜂蜜酒;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甜果酒</t>
    </r>
  </si>
  <si>
    <r>
      <t>培</t>
    </r>
    <r>
      <rPr>
        <sz val="11"/>
        <color theme="1"/>
        <rFont val="ＭＳ Ｐゴシック"/>
        <family val="3"/>
        <charset val="134"/>
        <scheme val="minor"/>
      </rPr>
      <t>伦</t>
    </r>
    <r>
      <rPr>
        <sz val="11"/>
        <color theme="1"/>
        <rFont val="ＭＳ Ｐゴシック"/>
        <family val="3"/>
        <charset val="128"/>
        <scheme val="minor"/>
      </rPr>
      <t>老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</si>
  <si>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粮河酒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</si>
  <si>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黄酒; 白干酒（中国白酒）; 高粱酒;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果酒（含酒精）; 葡萄酒</t>
    </r>
  </si>
  <si>
    <r>
      <t>衡酒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奇紫陶坊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</si>
  <si>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清酒（日本米酒）; 伏特加酒; 白酒;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</si>
  <si>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市无</t>
    </r>
    <r>
      <rPr>
        <sz val="11"/>
        <color theme="1"/>
        <rFont val="ＭＳ Ｐゴシック"/>
        <family val="3"/>
        <charset val="134"/>
        <scheme val="minor"/>
      </rPr>
      <t>铭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</si>
  <si>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米酒;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</si>
  <si>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美窖九五至尊</t>
  </si>
  <si>
    <r>
      <t>陈应</t>
    </r>
    <r>
      <rPr>
        <sz val="11"/>
        <color theme="1"/>
        <rFont val="ＭＳ Ｐゴシック"/>
        <family val="3"/>
        <charset val="129"/>
        <scheme val="minor"/>
      </rPr>
      <t>强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</si>
  <si>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白酒; 葡萄酒; 清酒; 伏特加酒;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</si>
  <si>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嘻多供</t>
    </r>
    <r>
      <rPr>
        <sz val="11"/>
        <color theme="1"/>
        <rFont val="ＭＳ Ｐゴシック"/>
        <family val="3"/>
        <charset val="134"/>
        <scheme val="minor"/>
      </rPr>
      <t>销</t>
    </r>
    <r>
      <rPr>
        <sz val="11"/>
        <color theme="1"/>
        <rFont val="ＭＳ Ｐゴシック"/>
        <family val="3"/>
        <charset val="128"/>
        <scheme val="minor"/>
      </rPr>
      <t>一号</t>
    </r>
  </si>
  <si>
    <t>大同市三晶科技有限公司</t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</si>
  <si>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果酒; 食用酒精; 米酒;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</si>
  <si>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陶芝春</t>
  </si>
  <si>
    <r>
      <t>江西省陶家春酒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</si>
  <si>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米酒; 威士忌; 白酒;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</t>
    </r>
  </si>
  <si>
    <r>
      <t>泓</t>
    </r>
    <r>
      <rPr>
        <sz val="11"/>
        <color theme="1"/>
        <rFont val="ＭＳ Ｐゴシック"/>
        <family val="3"/>
        <charset val="134"/>
        <scheme val="minor"/>
      </rPr>
      <t>润陈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</si>
  <si>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州泓</t>
    </r>
    <r>
      <rPr>
        <sz val="11"/>
        <color theme="1"/>
        <rFont val="ＭＳ Ｐゴシック"/>
        <family val="3"/>
        <charset val="134"/>
        <scheme val="minor"/>
      </rPr>
      <t>润陈酿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</si>
  <si>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甜酒;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青稞酒; 含酒精蛋奶酒; 开胃酒; 果酒;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</t>
    </r>
  </si>
  <si>
    <t>人海逢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</si>
  <si>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市陶</t>
    </r>
    <r>
      <rPr>
        <sz val="11"/>
        <color theme="1"/>
        <rFont val="ＭＳ Ｐゴシック"/>
        <family val="3"/>
        <charset val="134"/>
        <scheme val="minor"/>
      </rPr>
      <t>坛</t>
    </r>
    <r>
      <rPr>
        <sz val="11"/>
        <color theme="1"/>
        <rFont val="ＭＳ Ｐゴシック"/>
        <family val="3"/>
        <charset val="128"/>
        <scheme val="minor"/>
      </rPr>
      <t>醇酒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</si>
  <si>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白酒; 食用酒精; 米酒; 葡萄酒; 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</t>
    </r>
  </si>
  <si>
    <r>
      <t>皇</t>
    </r>
    <r>
      <rPr>
        <sz val="11"/>
        <color theme="1"/>
        <rFont val="ＭＳ Ｐゴシック"/>
        <family val="3"/>
        <charset val="134"/>
        <scheme val="minor"/>
      </rPr>
      <t>岗</t>
    </r>
    <r>
      <rPr>
        <sz val="11"/>
        <color theme="1"/>
        <rFont val="ＭＳ Ｐゴシック"/>
        <family val="3"/>
        <charset val="128"/>
        <scheme val="minor"/>
      </rPr>
      <t>庄氏祠堂</t>
    </r>
  </si>
  <si>
    <r>
      <t>深圳市皇</t>
    </r>
    <r>
      <rPr>
        <sz val="11"/>
        <color theme="1"/>
        <rFont val="ＭＳ Ｐゴシック"/>
        <family val="3"/>
        <charset val="134"/>
        <scheme val="minor"/>
      </rPr>
      <t>岗实业</t>
    </r>
    <r>
      <rPr>
        <sz val="11"/>
        <color theme="1"/>
        <rFont val="ＭＳ Ｐゴシック"/>
        <family val="3"/>
        <charset val="128"/>
        <scheme val="minor"/>
      </rPr>
      <t>股份有限公司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</si>
  <si>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黄酒; 白酒; 葡萄酒; 果酒; 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威士忌; 开胃酒; 不起泡葡萄酒</t>
    </r>
  </si>
  <si>
    <r>
      <t>辽</t>
    </r>
    <r>
      <rPr>
        <sz val="11"/>
        <color theme="1"/>
        <rFont val="ＭＳ Ｐゴシック"/>
        <family val="3"/>
        <charset val="128"/>
        <scheme val="minor"/>
      </rPr>
      <t>之</t>
    </r>
    <r>
      <rPr>
        <sz val="11"/>
        <color theme="1"/>
        <rFont val="ＭＳ Ｐゴシック"/>
        <family val="3"/>
        <charset val="134"/>
        <scheme val="minor"/>
      </rPr>
      <t>缘</t>
    </r>
  </si>
  <si>
    <r>
      <t>大</t>
    </r>
    <r>
      <rPr>
        <sz val="11"/>
        <color theme="1"/>
        <rFont val="ＭＳ Ｐゴシック"/>
        <family val="3"/>
        <charset val="134"/>
        <scheme val="minor"/>
      </rPr>
      <t>连</t>
    </r>
    <r>
      <rPr>
        <sz val="11"/>
        <color theme="1"/>
        <rFont val="ＭＳ Ｐゴシック"/>
        <family val="3"/>
        <charset val="128"/>
        <scheme val="minor"/>
      </rPr>
      <t>步云山酒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</si>
  <si>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葡萄酒;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</si>
  <si>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宾</t>
    </r>
    <r>
      <rPr>
        <sz val="11"/>
        <color theme="1"/>
        <rFont val="ＭＳ Ｐゴシック"/>
        <family val="3"/>
        <charset val="128"/>
        <scheme val="minor"/>
      </rPr>
      <t>樽台</t>
    </r>
  </si>
  <si>
    <t>薛明秋</t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</si>
  <si>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高粱酒;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葡萄酒; 黄酒; 白酒;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</si>
  <si>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喆熙醇香</t>
  </si>
  <si>
    <r>
      <t>张庆</t>
    </r>
    <r>
      <rPr>
        <sz val="11"/>
        <color theme="1"/>
        <rFont val="ＭＳ Ｐゴシック"/>
        <family val="3"/>
        <charset val="128"/>
        <scheme val="minor"/>
      </rPr>
      <t>林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</si>
  <si>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清酒; 高粱酒; 烈酒;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白酒; 白干酒（中国白酒）; 清酒（日本米酒）;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</si>
  <si>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腾</t>
    </r>
    <r>
      <rPr>
        <sz val="11"/>
        <color theme="1"/>
        <rFont val="ＭＳ Ｐゴシック"/>
        <family val="3"/>
        <charset val="128"/>
        <scheme val="minor"/>
      </rPr>
      <t>捷</t>
    </r>
    <r>
      <rPr>
        <sz val="11"/>
        <color theme="1"/>
        <rFont val="ＭＳ Ｐゴシック"/>
        <family val="3"/>
        <charset val="134"/>
        <scheme val="minor"/>
      </rPr>
      <t>乐迈购</t>
    </r>
  </si>
  <si>
    <t>黄路</t>
  </si>
  <si>
    <r>
      <t xml:space="preserve">汽酒; 白酒; 葡萄酒;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</si>
  <si>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YIWUPAI</t>
  </si>
  <si>
    <r>
      <t>义乌红</t>
    </r>
    <r>
      <rPr>
        <sz val="11"/>
        <color theme="1"/>
        <rFont val="ＭＳ Ｐゴシック"/>
        <family val="3"/>
        <charset val="128"/>
        <scheme val="minor"/>
      </rPr>
      <t>曲控股集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</si>
  <si>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黄酒; 食用酒精; 白酒; 果酒; 露酒; 汽酒; 米酒; 青稞酒; 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</si>
  <si>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皇想御酒</t>
  </si>
  <si>
    <r>
      <t>上海大</t>
    </r>
    <r>
      <rPr>
        <sz val="11"/>
        <color theme="1"/>
        <rFont val="ＭＳ Ｐゴシック"/>
        <family val="3"/>
        <charset val="134"/>
        <scheme val="minor"/>
      </rPr>
      <t>视</t>
    </r>
    <r>
      <rPr>
        <sz val="11"/>
        <color theme="1"/>
        <rFont val="ＭＳ Ｐゴシック"/>
        <family val="3"/>
        <charset val="128"/>
        <scheme val="minor"/>
      </rPr>
      <t>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播有限公司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</si>
  <si>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蒸煮提取物（利口酒和烈酒）; 葡萄酒;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清酒（日本米酒）; 开胃酒</t>
    </r>
  </si>
  <si>
    <r>
      <t>贮坛</t>
    </r>
    <r>
      <rPr>
        <sz val="11"/>
        <color theme="1"/>
        <rFont val="ＭＳ Ｐゴシック"/>
        <family val="3"/>
        <charset val="128"/>
        <scheme val="minor"/>
      </rPr>
      <t>魂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</si>
  <si>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米酒; 食用酒精; 清酒（日本米酒）; 白酒;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</si>
  <si>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蜀川玖富</t>
  </si>
  <si>
    <r>
      <t>成都聚玖</t>
    </r>
    <r>
      <rPr>
        <sz val="11"/>
        <color theme="1"/>
        <rFont val="ＭＳ Ｐゴシック"/>
        <family val="3"/>
        <charset val="134"/>
        <scheme val="minor"/>
      </rPr>
      <t>时</t>
    </r>
    <r>
      <rPr>
        <sz val="11"/>
        <color theme="1"/>
        <rFont val="ＭＳ Ｐゴシック"/>
        <family val="3"/>
        <charset val="128"/>
        <scheme val="minor"/>
      </rPr>
      <t>代商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</si>
  <si>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果酒（含酒精）;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开胃酒; 起泡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甜果酒;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汽酒;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</si>
  <si>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仙楼</t>
  </si>
  <si>
    <r>
      <t>徐</t>
    </r>
    <r>
      <rPr>
        <sz val="11"/>
        <color theme="1"/>
        <rFont val="ＭＳ Ｐゴシック"/>
        <family val="3"/>
        <charset val="134"/>
        <scheme val="minor"/>
      </rPr>
      <t>伟</t>
    </r>
  </si>
  <si>
    <r>
      <t>黄酒; 白酒;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</si>
  <si>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鲁</t>
    </r>
    <r>
      <rPr>
        <sz val="11"/>
        <color theme="1"/>
        <rFont val="ＭＳ Ｐゴシック"/>
        <family val="3"/>
        <charset val="128"/>
        <scheme val="minor"/>
      </rPr>
      <t>藏九五至尊</t>
    </r>
  </si>
  <si>
    <r>
      <t xml:space="preserve">米酒; 清酒;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伏特加酒; 葡萄酒; 黄酒;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</si>
  <si>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达</t>
    </r>
    <r>
      <rPr>
        <sz val="11"/>
        <color theme="1"/>
        <rFont val="ＭＳ Ｐゴシック"/>
        <family val="3"/>
        <charset val="134"/>
        <scheme val="minor"/>
      </rPr>
      <t>卖</t>
    </r>
  </si>
  <si>
    <r>
      <t>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柏呈文化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</si>
  <si>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高粱酒;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果酒（含酒精）; 白葡萄酒;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露酒</t>
    </r>
  </si>
  <si>
    <r>
      <t>轼</t>
    </r>
    <r>
      <rPr>
        <sz val="11"/>
        <color theme="1"/>
        <rFont val="ＭＳ Ｐゴシック"/>
        <family val="3"/>
        <charset val="128"/>
        <scheme val="minor"/>
      </rPr>
      <t>白醇香酒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</si>
  <si>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烈酒;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白干酒（中国白酒）; 高粱酒;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清酒（日本米酒）; 白酒; 清酒</t>
    </r>
  </si>
  <si>
    <r>
      <t>直隶将</t>
    </r>
    <r>
      <rPr>
        <sz val="11"/>
        <color theme="1"/>
        <rFont val="ＭＳ Ｐゴシック"/>
        <family val="3"/>
        <charset val="134"/>
        <scheme val="minor"/>
      </rPr>
      <t>军</t>
    </r>
    <r>
      <rPr>
        <sz val="11"/>
        <color theme="1"/>
        <rFont val="ＭＳ Ｐゴシック"/>
        <family val="3"/>
        <charset val="128"/>
        <scheme val="minor"/>
      </rPr>
      <t>令</t>
    </r>
  </si>
  <si>
    <r>
      <t>河北凌</t>
    </r>
    <r>
      <rPr>
        <sz val="11"/>
        <color theme="1"/>
        <rFont val="ＭＳ Ｐゴシック"/>
        <family val="3"/>
        <charset val="134"/>
        <scheme val="minor"/>
      </rPr>
      <t>鹰</t>
    </r>
    <r>
      <rPr>
        <sz val="11"/>
        <color theme="1"/>
        <rFont val="ＭＳ Ｐゴシック"/>
        <family val="3"/>
        <charset val="128"/>
        <scheme val="minor"/>
      </rPr>
      <t>教育科技有限公司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</si>
  <si>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食用酒精;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汽酒; 白酒</t>
    </r>
  </si>
  <si>
    <t>萄菇盛盛</t>
  </si>
  <si>
    <r>
      <t>湖北惠仁生</t>
    </r>
    <r>
      <rPr>
        <sz val="11"/>
        <color theme="1"/>
        <rFont val="ＭＳ Ｐゴシック"/>
        <family val="3"/>
        <charset val="134"/>
        <scheme val="minor"/>
      </rPr>
      <t>态农业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</si>
  <si>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葡萄酒;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白干酒（中国白酒）; 食用酒精;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白酒; 米酒; 开胃酒</t>
    </r>
  </si>
  <si>
    <t>宝蛭林</t>
  </si>
  <si>
    <r>
      <t>马</t>
    </r>
    <r>
      <rPr>
        <sz val="11"/>
        <color theme="1"/>
        <rFont val="ＭＳ Ｐゴシック"/>
        <family val="3"/>
        <charset val="128"/>
        <scheme val="minor"/>
      </rPr>
      <t>威</t>
    </r>
  </si>
  <si>
    <r>
      <t>果酒（含酒精）; 葡萄酒;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果酒; 白酒; 含酒精的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尾酒混合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品;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清酒; 米酒</t>
    </r>
  </si>
  <si>
    <r>
      <t>御</t>
    </r>
    <r>
      <rPr>
        <sz val="11"/>
        <color theme="1"/>
        <rFont val="ＭＳ Ｐゴシック"/>
        <family val="3"/>
        <charset val="134"/>
        <scheme val="minor"/>
      </rPr>
      <t>临</t>
    </r>
    <r>
      <rPr>
        <sz val="11"/>
        <color theme="1"/>
        <rFont val="ＭＳ Ｐゴシック"/>
        <family val="3"/>
        <charset val="128"/>
        <scheme val="minor"/>
      </rPr>
      <t>台</t>
    </r>
  </si>
  <si>
    <r>
      <t>河南道禾酒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</si>
  <si>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黄酒; 果酒（含酒精）;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</t>
    </r>
  </si>
  <si>
    <t>永吉昌</t>
  </si>
  <si>
    <r>
      <t>苏</t>
    </r>
    <r>
      <rPr>
        <sz val="11"/>
        <color theme="1"/>
        <rFont val="ＭＳ Ｐゴシック"/>
        <family val="3"/>
        <charset val="128"/>
        <scheme val="minor"/>
      </rPr>
      <t>州德瑾食品科技有限公司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</si>
  <si>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葡萄酒; 伏特加酒; 黄酒; 米酒; 柑香酒;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白酒</t>
    </r>
  </si>
  <si>
    <r>
      <t>御膳</t>
    </r>
    <r>
      <rPr>
        <sz val="11"/>
        <color theme="1"/>
        <rFont val="ＭＳ Ｐゴシック"/>
        <family val="3"/>
        <charset val="134"/>
        <scheme val="minor"/>
      </rPr>
      <t>岁</t>
    </r>
    <r>
      <rPr>
        <sz val="11"/>
        <color theme="1"/>
        <rFont val="ＭＳ Ｐゴシック"/>
        <family val="3"/>
        <charset val="128"/>
        <scheme val="minor"/>
      </rPr>
      <t>芝酒</t>
    </r>
  </si>
  <si>
    <t>嘉宏生物科技控股（海南）有限公司</t>
  </si>
  <si>
    <r>
      <t>葡萄酒; 蜂蜜酒; 威士忌; 青稞酒;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开胃酒;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餐后酒（利口酒和烈酒）</t>
    </r>
  </si>
  <si>
    <t>LE CHANT DES SIRENES</t>
  </si>
  <si>
    <r>
      <t>波</t>
    </r>
    <r>
      <rPr>
        <sz val="11"/>
        <color theme="1"/>
        <rFont val="ＭＳ Ｐゴシック"/>
        <family val="3"/>
        <charset val="134"/>
        <scheme val="minor"/>
      </rPr>
      <t>诺</t>
    </r>
    <r>
      <rPr>
        <sz val="11"/>
        <color theme="1"/>
        <rFont val="ＭＳ Ｐゴシック"/>
        <family val="3"/>
        <charset val="128"/>
        <scheme val="minor"/>
      </rPr>
      <t>日酒窖</t>
    </r>
  </si>
  <si>
    <r>
      <t xml:space="preserve">葡萄酒; 苹果酒; 薄荷酒;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果酒（含酒精）; 青稞酒; 米酒</t>
    </r>
  </si>
  <si>
    <r>
      <t>天</t>
    </r>
    <r>
      <rPr>
        <sz val="11"/>
        <color theme="1"/>
        <rFont val="ＭＳ Ｐゴシック"/>
        <family val="3"/>
        <charset val="134"/>
        <scheme val="minor"/>
      </rPr>
      <t>纪</t>
    </r>
    <r>
      <rPr>
        <sz val="11"/>
        <color theme="1"/>
        <rFont val="ＭＳ Ｐゴシック"/>
        <family val="3"/>
        <charset val="128"/>
        <scheme val="minor"/>
      </rPr>
      <t>古卅</t>
    </r>
  </si>
  <si>
    <t>崔正峰</t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</si>
  <si>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白酒; 蒸煮提取物（利口酒和烈酒）;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米酒; 葡萄酒; 威士忌;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</si>
  <si>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芬迪洛克</t>
  </si>
  <si>
    <r>
      <t>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省家旺人力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源管理咨</t>
    </r>
    <r>
      <rPr>
        <sz val="11"/>
        <color theme="1"/>
        <rFont val="ＭＳ Ｐゴシック"/>
        <family val="3"/>
        <charset val="134"/>
        <scheme val="minor"/>
      </rPr>
      <t>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</si>
  <si>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威士忌;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蒸煮提取物（利口酒和烈酒）;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伏特加酒;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白酒</t>
    </r>
  </si>
  <si>
    <r>
      <t>河南</t>
    </r>
    <r>
      <rPr>
        <sz val="11"/>
        <color theme="1"/>
        <rFont val="ＭＳ Ｐゴシック"/>
        <family val="3"/>
        <charset val="134"/>
        <scheme val="minor"/>
      </rPr>
      <t>闯荡</t>
    </r>
    <r>
      <rPr>
        <sz val="11"/>
        <color theme="1"/>
        <rFont val="ＭＳ Ｐゴシック"/>
        <family val="3"/>
        <charset val="128"/>
        <scheme val="minor"/>
      </rPr>
      <t>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</si>
  <si>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伏特加酒; 食用酒精;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威士忌; 果酒（含酒精）; 白酒; 葡萄酒</t>
    </r>
  </si>
  <si>
    <t>南湖秋月</t>
  </si>
  <si>
    <r>
      <t>江</t>
    </r>
    <r>
      <rPr>
        <sz val="11"/>
        <color theme="1"/>
        <rFont val="ＭＳ Ｐゴシック"/>
        <family val="3"/>
        <charset val="134"/>
        <scheme val="minor"/>
      </rPr>
      <t>苏</t>
    </r>
    <r>
      <rPr>
        <sz val="11"/>
        <color theme="1"/>
        <rFont val="ＭＳ Ｐゴシック"/>
        <family val="3"/>
        <charset val="128"/>
        <scheme val="minor"/>
      </rPr>
      <t>情出于</t>
    </r>
    <r>
      <rPr>
        <sz val="11"/>
        <color theme="1"/>
        <rFont val="ＭＳ Ｐゴシック"/>
        <family val="3"/>
        <charset val="134"/>
        <scheme val="minor"/>
      </rPr>
      <t>篮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</si>
  <si>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青稞酒; 白酒;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白干酒（中国白酒）; 葡萄酒; 开胃酒; 果酒;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食用酒精</t>
    </r>
  </si>
  <si>
    <t>留白人生</t>
  </si>
  <si>
    <r>
      <t>李春</t>
    </r>
    <r>
      <rPr>
        <sz val="11"/>
        <color theme="1"/>
        <rFont val="ＭＳ Ｐゴシック"/>
        <family val="3"/>
        <charset val="134"/>
        <scheme val="minor"/>
      </rPr>
      <t>满</t>
    </r>
  </si>
  <si>
    <r>
      <t>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青稞酒; 白酒; 蜂蜜酒; 黄酒; 果酒（含酒精）; 葡萄酒;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</t>
    </r>
  </si>
  <si>
    <t>塑界</t>
  </si>
  <si>
    <r>
      <t>广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樟洲文化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媒有限公司</t>
    </r>
  </si>
  <si>
    <r>
      <t xml:space="preserve">烈酒;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米酒; 果酒; 白酒; 威士忌; 餐后酒（利口酒和烈酒）</t>
    </r>
  </si>
  <si>
    <t>NAIK</t>
  </si>
  <si>
    <r>
      <t>广州喜抗力健康</t>
    </r>
    <r>
      <rPr>
        <sz val="11"/>
        <color theme="1"/>
        <rFont val="ＭＳ Ｐゴシック"/>
        <family val="3"/>
        <charset val="134"/>
        <scheme val="minor"/>
      </rPr>
      <t>产业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</si>
  <si>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黄酒;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开胃酒;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</si>
  <si>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首皇</t>
    </r>
    <r>
      <rPr>
        <sz val="11"/>
        <color theme="1"/>
        <rFont val="ＭＳ Ｐゴシック"/>
        <family val="3"/>
        <charset val="134"/>
        <scheme val="minor"/>
      </rPr>
      <t>贵</t>
    </r>
    <r>
      <rPr>
        <sz val="11"/>
        <color theme="1"/>
        <rFont val="ＭＳ Ｐゴシック"/>
        <family val="3"/>
        <charset val="128"/>
        <scheme val="minor"/>
      </rPr>
      <t>礼</t>
    </r>
  </si>
  <si>
    <r>
      <t>酒和友（北京）酒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</si>
  <si>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青稞酒;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开胃酒</t>
    </r>
  </si>
  <si>
    <t>北耕</t>
  </si>
  <si>
    <t>闫铭</t>
  </si>
  <si>
    <r>
      <t xml:space="preserve">汽酒;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葡萄酒; 青稞酒; 黄酒; 果酒;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</si>
  <si>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葵</t>
    </r>
    <r>
      <rPr>
        <sz val="11"/>
        <color theme="1"/>
        <rFont val="ＭＳ Ｐゴシック"/>
        <family val="3"/>
        <charset val="134"/>
        <scheme val="minor"/>
      </rPr>
      <t>进</t>
    </r>
  </si>
  <si>
    <r>
      <t>广西柳州葵</t>
    </r>
    <r>
      <rPr>
        <sz val="11"/>
        <color theme="1"/>
        <rFont val="ＭＳ Ｐゴシック"/>
        <family val="3"/>
        <charset val="134"/>
        <scheme val="minor"/>
      </rPr>
      <t>进贸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</si>
  <si>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葡萄酒; 甘蔗制烈酒;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黄酒; 白酒;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</si>
  <si>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皇想云酒</t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</si>
  <si>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蒸煮提取物（利口酒和烈酒）;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开胃酒;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清酒（日本米酒）</t>
    </r>
  </si>
  <si>
    <r>
      <t>分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岭</t>
    </r>
  </si>
  <si>
    <r>
      <t>滁州市分水岭特色种养植</t>
    </r>
    <r>
      <rPr>
        <sz val="11"/>
        <color theme="1"/>
        <rFont val="ＭＳ Ｐゴシック"/>
        <family val="3"/>
        <charset val="134"/>
        <scheme val="minor"/>
      </rPr>
      <t>农</t>
    </r>
    <r>
      <rPr>
        <sz val="11"/>
        <color theme="1"/>
        <rFont val="ＭＳ Ｐゴシック"/>
        <family val="3"/>
        <charset val="128"/>
        <scheme val="minor"/>
      </rPr>
      <t>民</t>
    </r>
    <r>
      <rPr>
        <sz val="11"/>
        <color theme="1"/>
        <rFont val="ＭＳ Ｐゴシック"/>
        <family val="3"/>
        <charset val="134"/>
        <scheme val="minor"/>
      </rPr>
      <t>专业</t>
    </r>
    <r>
      <rPr>
        <sz val="11"/>
        <color theme="1"/>
        <rFont val="ＭＳ Ｐゴシック"/>
        <family val="3"/>
        <charset val="128"/>
        <scheme val="minor"/>
      </rPr>
      <t>合作社</t>
    </r>
    <r>
      <rPr>
        <sz val="11"/>
        <color theme="1"/>
        <rFont val="ＭＳ Ｐゴシック"/>
        <family val="3"/>
        <charset val="134"/>
        <scheme val="minor"/>
      </rPr>
      <t>联</t>
    </r>
    <r>
      <rPr>
        <sz val="11"/>
        <color theme="1"/>
        <rFont val="ＭＳ Ｐゴシック"/>
        <family val="3"/>
        <charset val="128"/>
        <scheme val="minor"/>
      </rPr>
      <t>合社</t>
    </r>
  </si>
  <si>
    <r>
      <t>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葡萄酒; 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利口酒</t>
    </r>
  </si>
  <si>
    <r>
      <t>中南</t>
    </r>
    <r>
      <rPr>
        <sz val="11"/>
        <color theme="1"/>
        <rFont val="ＭＳ Ｐゴシック"/>
        <family val="3"/>
        <charset val="134"/>
        <scheme val="minor"/>
      </rPr>
      <t>贵</t>
    </r>
    <r>
      <rPr>
        <sz val="11"/>
        <color theme="1"/>
        <rFont val="ＭＳ Ｐゴシック"/>
        <family val="3"/>
        <charset val="128"/>
        <scheme val="minor"/>
      </rPr>
      <t>人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</si>
  <si>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州中南人商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</si>
  <si>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苹果酒; 米酒;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露酒;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白酒; 果酒（含酒精）; 餐后酒（利口酒和烈酒）</t>
    </r>
  </si>
  <si>
    <t>ROSSO NOBILE</t>
  </si>
  <si>
    <t>黑希茨海姆酒厂股份有限公司</t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</si>
  <si>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含酒精的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尾酒混合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品;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</si>
  <si>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DAN JIANG CONSTELLATION 丹江座</t>
  </si>
  <si>
    <r>
      <t>陕</t>
    </r>
    <r>
      <rPr>
        <sz val="11"/>
        <color theme="1"/>
        <rFont val="ＭＳ Ｐゴシック"/>
        <family val="3"/>
        <charset val="128"/>
        <scheme val="minor"/>
      </rPr>
      <t>西丹</t>
    </r>
    <r>
      <rPr>
        <sz val="11"/>
        <color theme="1"/>
        <rFont val="ＭＳ Ｐゴシック"/>
        <family val="3"/>
        <charset val="134"/>
        <scheme val="minor"/>
      </rPr>
      <t>凤</t>
    </r>
    <r>
      <rPr>
        <sz val="11"/>
        <color theme="1"/>
        <rFont val="ＭＳ Ｐゴシック"/>
        <family val="3"/>
        <charset val="128"/>
        <scheme val="minor"/>
      </rPr>
      <t>秦</t>
    </r>
    <r>
      <rPr>
        <sz val="11"/>
        <color theme="1"/>
        <rFont val="ＭＳ Ｐゴシック"/>
        <family val="3"/>
        <charset val="134"/>
        <scheme val="minor"/>
      </rPr>
      <t>汉</t>
    </r>
    <r>
      <rPr>
        <sz val="11"/>
        <color theme="1"/>
        <rFont val="ＭＳ Ｐゴシック"/>
        <family val="3"/>
        <charset val="128"/>
        <scheme val="minor"/>
      </rPr>
      <t>唐酒庄有限公司</t>
    </r>
  </si>
  <si>
    <r>
      <t>青稞酒; 白酒; 果酒; 烈酒;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蒸煮提取物（利口酒和烈酒）;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葡萄酒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</si>
  <si>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菱</t>
    </r>
  </si>
  <si>
    <t>刘武生</t>
  </si>
  <si>
    <r>
      <t>日本松</t>
    </r>
    <r>
      <rPr>
        <sz val="11"/>
        <color theme="1"/>
        <rFont val="ＭＳ Ｐゴシック"/>
        <family val="3"/>
        <charset val="134"/>
        <scheme val="minor"/>
      </rPr>
      <t>针</t>
    </r>
    <r>
      <rPr>
        <sz val="11"/>
        <color theme="1"/>
        <rFont val="ＭＳ Ｐゴシック"/>
        <family val="3"/>
        <charset val="128"/>
        <scheme val="minor"/>
      </rPr>
      <t xml:space="preserve">酒; 威士忌; 果酒（含酒精）; 黄酒; 葡萄酒; 利口酒; 白酒; 清酒（日本米酒）;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</si>
  <si>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弘</t>
    </r>
    <r>
      <rPr>
        <sz val="11"/>
        <color theme="1"/>
        <rFont val="ＭＳ Ｐゴシック"/>
        <family val="3"/>
        <charset val="134"/>
        <scheme val="minor"/>
      </rPr>
      <t>润陈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</si>
  <si>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米酒; 甜酒; 黄酒; 青稞酒; 开胃酒; 含酒精蛋奶酒;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</si>
  <si>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妙无限</t>
  </si>
  <si>
    <t>明康</t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</si>
  <si>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食用酒精;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青稞酒; 米酒; 白酒; 黄酒; 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</si>
  <si>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随和先生</t>
  </si>
  <si>
    <r>
      <t xml:space="preserve">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汽酒; 黄酒;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青稞酒; 食用酒精; 开胃酒; 白酒</t>
    </r>
  </si>
  <si>
    <t>将王神</t>
  </si>
  <si>
    <r>
      <t>黄</t>
    </r>
    <r>
      <rPr>
        <sz val="11"/>
        <color theme="1"/>
        <rFont val="ＭＳ Ｐゴシック"/>
        <family val="3"/>
        <charset val="134"/>
        <scheme val="minor"/>
      </rPr>
      <t>爱</t>
    </r>
    <r>
      <rPr>
        <sz val="11"/>
        <color theme="1"/>
        <rFont val="ＭＳ Ｐゴシック"/>
        <family val="3"/>
        <charset val="128"/>
        <scheme val="minor"/>
      </rPr>
      <t>明</t>
    </r>
  </si>
  <si>
    <r>
      <t>清酒;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米酒; 烈酒; 果酒（含酒精）; 白酒; 高粱酒; 黄酒;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</si>
  <si>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山林笔</t>
    </r>
    <r>
      <rPr>
        <sz val="11"/>
        <color theme="1"/>
        <rFont val="ＭＳ Ｐゴシック"/>
        <family val="3"/>
        <charset val="134"/>
        <scheme val="minor"/>
      </rPr>
      <t>记</t>
    </r>
  </si>
  <si>
    <t>郭宏</t>
  </si>
  <si>
    <r>
      <t xml:space="preserve">开胃酒;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汽酒;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</si>
  <si>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盛朗</t>
    </r>
    <r>
      <rPr>
        <sz val="11"/>
        <color theme="1"/>
        <rFont val="ＭＳ Ｐゴシック"/>
        <family val="3"/>
        <charset val="134"/>
        <scheme val="minor"/>
      </rPr>
      <t>联创</t>
    </r>
    <r>
      <rPr>
        <sz val="11"/>
        <color theme="1"/>
        <rFont val="ＭＳ Ｐゴシック"/>
        <family val="3"/>
        <charset val="128"/>
        <scheme val="minor"/>
      </rPr>
      <t>（北京）科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</si>
  <si>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朗姆酒;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伏特加酒; 果酒（含酒精）; 葡萄酒;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</si>
  <si>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云霄台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</si>
  <si>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市云霄台酒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</si>
  <si>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米酒;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露酒; 白酒; 餐后酒（利口酒和烈酒）; 果酒（含酒精）; 苹果酒;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</si>
  <si>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HUANFA RESTAURANT MANAGEMENT</t>
  </si>
  <si>
    <r>
      <t>无</t>
    </r>
    <r>
      <rPr>
        <sz val="11"/>
        <color theme="1"/>
        <rFont val="ＭＳ Ｐゴシック"/>
        <family val="3"/>
        <charset val="134"/>
        <scheme val="minor"/>
      </rPr>
      <t>锡环发</t>
    </r>
    <r>
      <rPr>
        <sz val="11"/>
        <color theme="1"/>
        <rFont val="ＭＳ Ｐゴシック"/>
        <family val="3"/>
        <charset val="128"/>
        <scheme val="minor"/>
      </rPr>
      <t>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</si>
  <si>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 xml:space="preserve">果酒（含酒精）;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</si>
  <si>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t>刘怡楠</t>
  </si>
  <si>
    <r>
      <t xml:space="preserve">果酒; 烈性干酒; 白酒; 高粱酒; 伏特加酒; 黄酒;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威士忌</t>
    </r>
  </si>
  <si>
    <t>MONSIEUR HENRI</t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</si>
  <si>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白酒; 果酒（含酒精）; 葡萄酒; 苹果酒;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青稞酒; 薄荷酒</t>
    </r>
  </si>
  <si>
    <r>
      <t>陈</t>
    </r>
    <r>
      <rPr>
        <sz val="11"/>
        <color theme="1"/>
        <rFont val="ＭＳ Ｐゴシック"/>
        <family val="3"/>
        <charset val="128"/>
        <scheme val="minor"/>
      </rPr>
      <t>仕均面坊</t>
    </r>
  </si>
  <si>
    <r>
      <t>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</t>
    </r>
    <r>
      <rPr>
        <sz val="11"/>
        <color theme="1"/>
        <rFont val="ＭＳ Ｐゴシック"/>
        <family val="3"/>
        <charset val="134"/>
        <scheme val="minor"/>
      </rPr>
      <t>陈</t>
    </r>
    <r>
      <rPr>
        <sz val="11"/>
        <color theme="1"/>
        <rFont val="ＭＳ Ｐゴシック"/>
        <family val="3"/>
        <charset val="128"/>
        <scheme val="minor"/>
      </rPr>
      <t>仕均面条加工店（个人独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）</t>
    </r>
  </si>
  <si>
    <t>朗姆酒; 烈酒; 利口酒; 开胃酒; 白葡萄酒; 伏特加酒; 威士忌; 白酒; 高梁酒; 果酒(含酒精)</t>
  </si>
  <si>
    <r>
      <t>大叔甄</t>
    </r>
    <r>
      <rPr>
        <sz val="11"/>
        <color theme="1"/>
        <rFont val="ＭＳ Ｐゴシック"/>
        <family val="3"/>
        <charset val="134"/>
        <scheme val="minor"/>
      </rPr>
      <t>讲</t>
    </r>
  </si>
  <si>
    <r>
      <t>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地</t>
    </r>
    <r>
      <rPr>
        <sz val="11"/>
        <color theme="1"/>
        <rFont val="ＭＳ Ｐゴシック"/>
        <family val="3"/>
        <charset val="134"/>
        <scheme val="minor"/>
      </rPr>
      <t>标</t>
    </r>
    <r>
      <rPr>
        <sz val="11"/>
        <color theme="1"/>
        <rFont val="ＭＳ Ｐゴシック"/>
        <family val="3"/>
        <charset val="128"/>
        <scheme val="minor"/>
      </rPr>
      <t>文化</t>
    </r>
    <r>
      <rPr>
        <sz val="11"/>
        <color theme="1"/>
        <rFont val="ＭＳ Ｐゴシック"/>
        <family val="3"/>
        <charset val="134"/>
        <scheme val="minor"/>
      </rPr>
      <t>产业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</si>
  <si>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米酒; 威士忌;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葡萄酒;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黄酒; 清酒（日本米酒）</t>
    </r>
  </si>
  <si>
    <t>晋修堂</t>
  </si>
  <si>
    <r>
      <t>安徽</t>
    </r>
    <r>
      <rPr>
        <sz val="11"/>
        <color theme="1"/>
        <rFont val="ＭＳ Ｐゴシック"/>
        <family val="3"/>
        <charset val="134"/>
        <scheme val="minor"/>
      </rPr>
      <t>鹊</t>
    </r>
    <r>
      <rPr>
        <sz val="11"/>
        <color theme="1"/>
        <rFont val="ＭＳ Ｐゴシック"/>
        <family val="3"/>
        <charset val="128"/>
        <scheme val="minor"/>
      </rPr>
      <t>佗堂中</t>
    </r>
    <r>
      <rPr>
        <sz val="11"/>
        <color theme="1"/>
        <rFont val="ＭＳ Ｐゴシック"/>
        <family val="3"/>
        <charset val="134"/>
        <scheme val="minor"/>
      </rPr>
      <t>药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</si>
  <si>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白干酒（中国白酒）;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黄酒; 果酒; 葡萄酒;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</si>
  <si>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燚仕</t>
  </si>
  <si>
    <t>王亮亮</t>
  </si>
  <si>
    <r>
      <t>食用酒精;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清酒（日本米酒）;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高粱酒; 白酒;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</si>
  <si>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地学兀</t>
  </si>
  <si>
    <r>
      <t>滨</t>
    </r>
    <r>
      <rPr>
        <sz val="11"/>
        <color theme="1"/>
        <rFont val="ＭＳ Ｐゴシック"/>
        <family val="3"/>
        <charset val="128"/>
        <scheme val="minor"/>
      </rPr>
      <t>州三叶虫工程技</t>
    </r>
    <r>
      <rPr>
        <sz val="11"/>
        <color theme="1"/>
        <rFont val="ＭＳ Ｐゴシック"/>
        <family val="3"/>
        <charset val="134"/>
        <scheme val="minor"/>
      </rPr>
      <t>术</t>
    </r>
    <r>
      <rPr>
        <sz val="11"/>
        <color theme="1"/>
        <rFont val="ＭＳ Ｐゴシック"/>
        <family val="3"/>
        <charset val="128"/>
        <scheme val="minor"/>
      </rPr>
      <t>服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</si>
  <si>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杨</t>
    </r>
    <r>
      <rPr>
        <sz val="11"/>
        <color theme="1"/>
        <rFont val="ＭＳ Ｐゴシック"/>
        <family val="3"/>
        <charset val="128"/>
        <scheme val="minor"/>
      </rPr>
      <t xml:space="preserve">梅酒;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黄酒; 白葡萄酒;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高粱酒;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米酒</t>
    </r>
  </si>
  <si>
    <r>
      <t>成</t>
    </r>
    <r>
      <rPr>
        <sz val="11"/>
        <color theme="1"/>
        <rFont val="ＭＳ Ｐゴシック"/>
        <family val="3"/>
        <charset val="134"/>
        <scheme val="minor"/>
      </rPr>
      <t>义烧</t>
    </r>
    <r>
      <rPr>
        <sz val="11"/>
        <color theme="1"/>
        <rFont val="ＭＳ Ｐゴシック"/>
        <family val="3"/>
        <charset val="128"/>
        <scheme val="minor"/>
      </rPr>
      <t>坊</t>
    </r>
    <r>
      <rPr>
        <sz val="11"/>
        <color theme="1"/>
        <rFont val="ＭＳ Ｐゴシック"/>
        <family val="3"/>
        <charset val="134"/>
        <scheme val="minor"/>
      </rPr>
      <t>满</t>
    </r>
    <r>
      <rPr>
        <sz val="11"/>
        <color theme="1"/>
        <rFont val="ＭＳ Ｐゴシック"/>
        <family val="3"/>
        <charset val="128"/>
        <scheme val="minor"/>
      </rPr>
      <t>堂彩</t>
    </r>
  </si>
  <si>
    <r>
      <t>薄荷酒; 葡萄酒; 餐后酒（利口酒和烈酒）;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清酒（日本米酒）;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</si>
  <si>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成</t>
    </r>
    <r>
      <rPr>
        <sz val="11"/>
        <color theme="1"/>
        <rFont val="ＭＳ Ｐゴシック"/>
        <family val="3"/>
        <charset val="134"/>
        <scheme val="minor"/>
      </rPr>
      <t>义满</t>
    </r>
    <r>
      <rPr>
        <sz val="11"/>
        <color theme="1"/>
        <rFont val="ＭＳ Ｐゴシック"/>
        <family val="3"/>
        <charset val="128"/>
        <scheme val="minor"/>
      </rPr>
      <t>堂彩</t>
    </r>
  </si>
  <si>
    <r>
      <t>葡萄酒; 清酒（日本米酒）; 白酒; 餐后酒（利口酒和烈酒）;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薄荷酒;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开胃酒</t>
    </r>
  </si>
  <si>
    <t>冀宏</t>
  </si>
  <si>
    <r>
      <t>张伟</t>
    </r>
    <r>
      <rPr>
        <sz val="11"/>
        <color theme="1"/>
        <rFont val="ＭＳ Ｐゴシック"/>
        <family val="3"/>
        <charset val="128"/>
        <scheme val="minor"/>
      </rPr>
      <t>涛</t>
    </r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</si>
  <si>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甜酒; 米酒; 黄酒; 果酒; 烈酒; 汽酒; 葡萄酒</t>
    </r>
  </si>
  <si>
    <r>
      <t>滇</t>
    </r>
    <r>
      <rPr>
        <sz val="11"/>
        <color theme="1"/>
        <rFont val="ＭＳ Ｐゴシック"/>
        <family val="3"/>
        <charset val="134"/>
        <scheme val="minor"/>
      </rPr>
      <t>跃</t>
    </r>
  </si>
  <si>
    <r>
      <t>云南滇</t>
    </r>
    <r>
      <rPr>
        <sz val="11"/>
        <color theme="1"/>
        <rFont val="ＭＳ Ｐゴシック"/>
        <family val="3"/>
        <charset val="134"/>
        <scheme val="minor"/>
      </rPr>
      <t>跃</t>
    </r>
    <r>
      <rPr>
        <sz val="11"/>
        <color theme="1"/>
        <rFont val="ＭＳ Ｐゴシック"/>
        <family val="3"/>
        <charset val="128"/>
        <scheme val="minor"/>
      </rPr>
      <t>管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</si>
  <si>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葡萄酒;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白酒;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</si>
  <si>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赶会</t>
  </si>
  <si>
    <r>
      <t>卫晓</t>
    </r>
    <r>
      <rPr>
        <sz val="11"/>
        <color theme="1"/>
        <rFont val="ＭＳ Ｐゴシック"/>
        <family val="3"/>
        <charset val="128"/>
        <scheme val="minor"/>
      </rPr>
      <t>米</t>
    </r>
  </si>
  <si>
    <r>
      <t xml:space="preserve">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白酒; 蜂蜜酒; 伏特加酒;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葡萄酒</t>
    </r>
  </si>
  <si>
    <t>十足</t>
  </si>
  <si>
    <r>
      <t>浙江十足商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</si>
  <si>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清酒（日本米酒）;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甜果酒; 葡萄酒; 朗姆酒; 利口酒</t>
    </r>
  </si>
  <si>
    <t>稻家私享 DOOROFENJOY</t>
  </si>
  <si>
    <r>
      <t>沈阳渡口餐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</si>
  <si>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混合威士忌酒;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梨酒; 米酒; 葡萄酒;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</si>
  <si>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杞特西</t>
    </r>
    <r>
      <rPr>
        <sz val="11"/>
        <color theme="1"/>
        <rFont val="ＭＳ Ｐゴシック"/>
        <family val="3"/>
        <charset val="134"/>
        <scheme val="minor"/>
      </rPr>
      <t>调</t>
    </r>
  </si>
  <si>
    <t>宁夏金久生物股份有限公司</t>
  </si>
  <si>
    <r>
      <t xml:space="preserve">伏特加酒; 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朗姆酒; 威士忌;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</si>
  <si>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金典唐</t>
  </si>
  <si>
    <r>
      <t>白酒; 高粱酒; 开胃酒; 米酒; 蒸煮提取物（利口酒和烈酒）; 苦味酒;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白干酒（中国白酒）</t>
    </r>
  </si>
  <si>
    <r>
      <t>忠</t>
    </r>
    <r>
      <rPr>
        <sz val="11"/>
        <color theme="1"/>
        <rFont val="ＭＳ Ｐゴシック"/>
        <family val="3"/>
        <charset val="134"/>
        <scheme val="minor"/>
      </rPr>
      <t>义</t>
    </r>
    <r>
      <rPr>
        <sz val="11"/>
        <color theme="1"/>
        <rFont val="ＭＳ Ｐゴシック"/>
        <family val="3"/>
        <charset val="128"/>
        <scheme val="minor"/>
      </rPr>
      <t>梁山泊</t>
    </r>
  </si>
  <si>
    <r>
      <t>徐恩</t>
    </r>
    <r>
      <rPr>
        <sz val="11"/>
        <color theme="1"/>
        <rFont val="ＭＳ Ｐゴシック"/>
        <family val="3"/>
        <charset val="134"/>
        <scheme val="minor"/>
      </rPr>
      <t>润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</si>
  <si>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果酒（含酒精）; 利口酒;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开胃酒;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果酒; 白酒</t>
    </r>
  </si>
  <si>
    <r>
      <t>中</t>
    </r>
    <r>
      <rPr>
        <sz val="11"/>
        <color theme="1"/>
        <rFont val="ＭＳ Ｐゴシック"/>
        <family val="3"/>
        <charset val="134"/>
        <scheme val="minor"/>
      </rPr>
      <t>许</t>
    </r>
  </si>
  <si>
    <r>
      <t>万</t>
    </r>
    <r>
      <rPr>
        <sz val="11"/>
        <color theme="1"/>
        <rFont val="ＭＳ Ｐゴシック"/>
        <family val="3"/>
        <charset val="134"/>
        <scheme val="minor"/>
      </rPr>
      <t>许</t>
    </r>
    <r>
      <rPr>
        <sz val="11"/>
        <color theme="1"/>
        <rFont val="ＭＳ Ｐゴシック"/>
        <family val="3"/>
        <charset val="128"/>
        <scheme val="minor"/>
      </rPr>
      <t>峰</t>
    </r>
  </si>
  <si>
    <r>
      <t>清酒（日本米酒）; 白酒; 酸酒（低等葡萄酒）; 威士忌;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伏特加酒;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</si>
  <si>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乾焱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</si>
  <si>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州国</t>
    </r>
    <r>
      <rPr>
        <sz val="11"/>
        <color theme="1"/>
        <rFont val="ＭＳ Ｐゴシック"/>
        <family val="3"/>
        <charset val="134"/>
        <scheme val="minor"/>
      </rPr>
      <t>酱</t>
    </r>
    <r>
      <rPr>
        <sz val="11"/>
        <color theme="1"/>
        <rFont val="ＭＳ Ｐゴシック"/>
        <family val="3"/>
        <charset val="128"/>
        <scheme val="minor"/>
      </rPr>
      <t>乾元酒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</si>
  <si>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 xml:space="preserve">米酒; 甘蔗制烈酒; 白酒;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</si>
  <si>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曾氏振</t>
    </r>
    <r>
      <rPr>
        <sz val="11"/>
        <color theme="1"/>
        <rFont val="ＭＳ Ｐゴシック"/>
        <family val="3"/>
        <charset val="134"/>
        <scheme val="minor"/>
      </rPr>
      <t>兴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</si>
  <si>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市今醉酒</t>
    </r>
    <r>
      <rPr>
        <sz val="11"/>
        <color theme="1"/>
        <rFont val="ＭＳ Ｐゴシック"/>
        <family val="3"/>
        <charset val="134"/>
        <scheme val="minor"/>
      </rPr>
      <t>业销</t>
    </r>
    <r>
      <rPr>
        <sz val="11"/>
        <color theme="1"/>
        <rFont val="ＭＳ Ｐゴシック"/>
        <family val="3"/>
        <charset val="128"/>
        <scheme val="minor"/>
      </rPr>
      <t>售有限公司</t>
    </r>
  </si>
  <si>
    <r>
      <t>清酒（日本米酒）; 米酒; 葡萄酒;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黄酒; 汽酒; 果酒（含酒精）;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</t>
    </r>
  </si>
  <si>
    <t>大帝皇尊品</t>
  </si>
  <si>
    <r>
      <t>黄</t>
    </r>
    <r>
      <rPr>
        <sz val="11"/>
        <color theme="1"/>
        <rFont val="ＭＳ Ｐゴシック"/>
        <family val="3"/>
        <charset val="134"/>
        <scheme val="minor"/>
      </rPr>
      <t>晓</t>
    </r>
    <r>
      <rPr>
        <sz val="11"/>
        <color theme="1"/>
        <rFont val="ＭＳ Ｐゴシック"/>
        <family val="3"/>
        <charset val="128"/>
        <scheme val="minor"/>
      </rPr>
      <t>伍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</si>
  <si>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米酒; 葡萄酒; 果酒</t>
    </r>
  </si>
  <si>
    <r>
      <t>统</t>
    </r>
    <r>
      <rPr>
        <sz val="11"/>
        <color theme="1"/>
        <rFont val="ＭＳ Ｐゴシック"/>
        <family val="3"/>
        <charset val="128"/>
        <scheme val="minor"/>
      </rPr>
      <t>豪天品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</si>
  <si>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市智</t>
    </r>
    <r>
      <rPr>
        <sz val="11"/>
        <color theme="1"/>
        <rFont val="ＭＳ Ｐゴシック"/>
        <family val="3"/>
        <charset val="134"/>
        <scheme val="minor"/>
      </rPr>
      <t>鸿酿</t>
    </r>
    <r>
      <rPr>
        <sz val="11"/>
        <color theme="1"/>
        <rFont val="ＭＳ Ｐゴシック"/>
        <family val="3"/>
        <charset val="128"/>
        <scheme val="minor"/>
      </rPr>
      <t>酒作坊</t>
    </r>
  </si>
  <si>
    <r>
      <t>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薄荷酒;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苦味酒; 朗姆酒; 葡萄酒</t>
    </r>
  </si>
  <si>
    <r>
      <t>濩</t>
    </r>
    <r>
      <rPr>
        <sz val="11"/>
        <color theme="1"/>
        <rFont val="ＭＳ Ｐゴシック"/>
        <family val="3"/>
        <charset val="134"/>
        <scheme val="minor"/>
      </rPr>
      <t>泽</t>
    </r>
  </si>
  <si>
    <r>
      <t xml:space="preserve">威士忌; 白酒; 果酒;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蜂蜜酒;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伏特加酒</t>
    </r>
  </si>
  <si>
    <r>
      <t xml:space="preserve">POWERBOY </t>
    </r>
    <r>
      <rPr>
        <sz val="11"/>
        <color theme="1"/>
        <rFont val="ＭＳ Ｐゴシック"/>
        <family val="3"/>
        <charset val="134"/>
        <scheme val="minor"/>
      </rPr>
      <t>动</t>
    </r>
    <r>
      <rPr>
        <sz val="11"/>
        <color theme="1"/>
        <rFont val="ＭＳ Ｐゴシック"/>
        <family val="3"/>
        <charset val="128"/>
        <scheme val="minor"/>
      </rPr>
      <t>力男孩</t>
    </r>
  </si>
  <si>
    <r>
      <t>张</t>
    </r>
    <r>
      <rPr>
        <sz val="11"/>
        <color theme="1"/>
        <rFont val="ＭＳ Ｐゴシック"/>
        <family val="3"/>
        <charset val="128"/>
        <scheme val="minor"/>
      </rPr>
      <t>欣欣</t>
    </r>
  </si>
  <si>
    <r>
      <t xml:space="preserve">威士忌;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利口酒; 葡萄酒; 伏特加酒;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清酒（日本米酒）;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</si>
  <si>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娄</t>
    </r>
    <r>
      <rPr>
        <sz val="11"/>
        <color theme="1"/>
        <rFont val="ＭＳ Ｐゴシック"/>
        <family val="3"/>
        <charset val="134"/>
        <scheme val="minor"/>
      </rPr>
      <t>门书</t>
    </r>
    <r>
      <rPr>
        <sz val="11"/>
        <color theme="1"/>
        <rFont val="ＭＳ Ｐゴシック"/>
        <family val="3"/>
        <charset val="128"/>
        <scheme val="minor"/>
      </rPr>
      <t>院</t>
    </r>
  </si>
  <si>
    <r>
      <t>鸿</t>
    </r>
    <r>
      <rPr>
        <sz val="11"/>
        <color theme="1"/>
        <rFont val="ＭＳ Ｐゴシック"/>
        <family val="3"/>
        <charset val="128"/>
        <scheme val="minor"/>
      </rPr>
      <t>灌</t>
    </r>
    <r>
      <rPr>
        <sz val="11"/>
        <color theme="1"/>
        <rFont val="ＭＳ Ｐゴシック"/>
        <family val="3"/>
        <charset val="134"/>
        <scheme val="minor"/>
      </rPr>
      <t>环</t>
    </r>
    <r>
      <rPr>
        <sz val="11"/>
        <color theme="1"/>
        <rFont val="ＭＳ Ｐゴシック"/>
        <family val="3"/>
        <charset val="128"/>
        <scheme val="minor"/>
      </rPr>
      <t>境技</t>
    </r>
    <r>
      <rPr>
        <sz val="11"/>
        <color theme="1"/>
        <rFont val="ＭＳ Ｐゴシック"/>
        <family val="3"/>
        <charset val="134"/>
        <scheme val="minor"/>
      </rPr>
      <t>术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</si>
  <si>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清酒; 果酒(含酒精); 开胃酒;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黄酒;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</si>
  <si>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长</t>
    </r>
    <r>
      <rPr>
        <sz val="11"/>
        <color theme="1"/>
        <rFont val="ＭＳ Ｐゴシック"/>
        <family val="3"/>
        <charset val="128"/>
        <scheme val="minor"/>
      </rPr>
      <t>元亨</t>
    </r>
  </si>
  <si>
    <r>
      <t>河南三千客葡萄酒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</si>
  <si>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黄酒; 伏特加酒; 白酒; 开胃酒; 朗姆酒; 米酒</t>
    </r>
  </si>
  <si>
    <t>中金条</t>
  </si>
  <si>
    <r>
      <t>中酒投企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管理（</t>
    </r>
    <r>
      <rPr>
        <sz val="11"/>
        <color theme="1"/>
        <rFont val="ＭＳ Ｐゴシック"/>
        <family val="3"/>
        <charset val="134"/>
        <scheme val="minor"/>
      </rPr>
      <t>贵</t>
    </r>
    <r>
      <rPr>
        <sz val="11"/>
        <color theme="1"/>
        <rFont val="ＭＳ Ｐゴシック"/>
        <family val="3"/>
        <charset val="128"/>
        <scheme val="minor"/>
      </rPr>
      <t>州）有限公司</t>
    </r>
  </si>
  <si>
    <r>
      <t>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葡萄酒;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黄酒</t>
    </r>
  </si>
  <si>
    <r>
      <t>图</t>
    </r>
    <r>
      <rPr>
        <sz val="11"/>
        <color theme="1"/>
        <rFont val="ＭＳ Ｐゴシック"/>
        <family val="3"/>
        <charset val="128"/>
        <scheme val="minor"/>
      </rPr>
      <t>拉美度</t>
    </r>
  </si>
  <si>
    <r>
      <t>重</t>
    </r>
    <r>
      <rPr>
        <sz val="11"/>
        <color theme="1"/>
        <rFont val="ＭＳ Ｐゴシック"/>
        <family val="3"/>
        <charset val="134"/>
        <scheme val="minor"/>
      </rPr>
      <t>庆</t>
    </r>
    <r>
      <rPr>
        <sz val="11"/>
        <color theme="1"/>
        <rFont val="ＭＳ Ｐゴシック"/>
        <family val="3"/>
        <charset val="128"/>
        <scheme val="minor"/>
      </rPr>
      <t>聚度网</t>
    </r>
    <r>
      <rPr>
        <sz val="11"/>
        <color theme="1"/>
        <rFont val="ＭＳ Ｐゴシック"/>
        <family val="3"/>
        <charset val="134"/>
        <scheme val="minor"/>
      </rPr>
      <t>络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</si>
  <si>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 xml:space="preserve">葡萄酒; 酸酒（低等葡萄酒）;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白葡萄酒; 阿蒙蒂拉多白葡萄酒; 桃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起泡白葡萄酒; 起泡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制好的葡萄酒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</si>
  <si>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陇</t>
    </r>
    <r>
      <rPr>
        <sz val="11"/>
        <color theme="1"/>
        <rFont val="ＭＳ Ｐゴシック"/>
        <family val="3"/>
        <charset val="128"/>
        <scheme val="minor"/>
      </rPr>
      <t>久春</t>
    </r>
  </si>
  <si>
    <r>
      <t>刘永</t>
    </r>
    <r>
      <rPr>
        <sz val="11"/>
        <color theme="1"/>
        <rFont val="ＭＳ Ｐゴシック"/>
        <family val="3"/>
        <charset val="129"/>
        <scheme val="minor"/>
      </rPr>
      <t>强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</si>
  <si>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青稞酒; 食用酒精;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蜂蜜酒; 烈酒; 苹果酒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</si>
  <si>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州中黔生物科技有限公司</t>
    </r>
  </si>
  <si>
    <r>
      <t>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米酒;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梨酒;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高粱酒</t>
    </r>
  </si>
  <si>
    <r>
      <t>卺曌 卺曌酒</t>
    </r>
    <r>
      <rPr>
        <sz val="11"/>
        <color theme="1"/>
        <rFont val="ＭＳ Ｐゴシック"/>
        <family val="3"/>
        <charset val="134"/>
        <scheme val="minor"/>
      </rPr>
      <t>业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</si>
  <si>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州卺曌酒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</si>
  <si>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利口酒; 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高粱酒; 果酒; 白酒</t>
    </r>
  </si>
  <si>
    <t>未来哿</t>
  </si>
  <si>
    <r>
      <t>志道文化（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莞市）有限公司</t>
    </r>
  </si>
  <si>
    <r>
      <t>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 xml:space="preserve">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烈酒; 甜果酒; 黄酒; 白酒; 威士忌</t>
    </r>
  </si>
  <si>
    <r>
      <t>闻</t>
    </r>
    <r>
      <rPr>
        <sz val="11"/>
        <color theme="1"/>
        <rFont val="ＭＳ Ｐゴシック"/>
        <family val="3"/>
        <charset val="128"/>
        <scheme val="minor"/>
      </rPr>
      <t>宇</t>
    </r>
  </si>
  <si>
    <r>
      <t>东</t>
    </r>
    <r>
      <rPr>
        <sz val="11"/>
        <color theme="1"/>
        <rFont val="ＭＳ Ｐゴシック"/>
        <family val="3"/>
        <charset val="128"/>
        <scheme val="minor"/>
      </rPr>
      <t>莞市</t>
    </r>
    <r>
      <rPr>
        <sz val="11"/>
        <color theme="1"/>
        <rFont val="ＭＳ Ｐゴシック"/>
        <family val="3"/>
        <charset val="134"/>
        <scheme val="minor"/>
      </rPr>
      <t>闻</t>
    </r>
    <r>
      <rPr>
        <sz val="11"/>
        <color theme="1"/>
        <rFont val="ＭＳ Ｐゴシック"/>
        <family val="3"/>
        <charset val="128"/>
        <scheme val="minor"/>
      </rPr>
      <t>宇</t>
    </r>
    <r>
      <rPr>
        <sz val="11"/>
        <color theme="1"/>
        <rFont val="ＭＳ Ｐゴシック"/>
        <family val="3"/>
        <charset val="134"/>
        <scheme val="minor"/>
      </rPr>
      <t>实业</t>
    </r>
    <r>
      <rPr>
        <sz val="11"/>
        <color theme="1"/>
        <rFont val="ＭＳ Ｐゴシック"/>
        <family val="3"/>
        <charset val="128"/>
        <scheme val="minor"/>
      </rPr>
      <t>投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</si>
  <si>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葡萄酒; 威士忌; 米酒;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</si>
  <si>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千翼堂</t>
  </si>
  <si>
    <t>杭州千翼堂生物科技有限公司</t>
  </si>
  <si>
    <r>
      <t>黄酒; 果酒;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清酒; 葡萄酒; 甜酒;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米酒; 青梅酒</t>
    </r>
  </si>
  <si>
    <t>乘果</t>
  </si>
  <si>
    <r>
      <t>余</t>
    </r>
    <r>
      <rPr>
        <sz val="11"/>
        <color theme="1"/>
        <rFont val="ＭＳ Ｐゴシック"/>
        <family val="3"/>
        <charset val="134"/>
        <scheme val="minor"/>
      </rPr>
      <t>轩</t>
    </r>
    <r>
      <rPr>
        <sz val="11"/>
        <color theme="1"/>
        <rFont val="ＭＳ Ｐゴシック"/>
        <family val="3"/>
        <charset val="128"/>
        <scheme val="minor"/>
      </rPr>
      <t>冉</t>
    </r>
  </si>
  <si>
    <r>
      <t>开胃酒;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黄酒; 果酒（含酒精）; 汽酒; 白酒;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</t>
    </r>
  </si>
  <si>
    <r>
      <t>泸</t>
    </r>
    <r>
      <rPr>
        <sz val="11"/>
        <color theme="1"/>
        <rFont val="ＭＳ Ｐゴシック"/>
        <family val="3"/>
        <charset val="128"/>
        <scheme val="minor"/>
      </rPr>
      <t>千里</t>
    </r>
  </si>
  <si>
    <r>
      <t>陈</t>
    </r>
    <r>
      <rPr>
        <sz val="11"/>
        <color theme="1"/>
        <rFont val="ＭＳ Ｐゴシック"/>
        <family val="3"/>
        <charset val="128"/>
        <scheme val="minor"/>
      </rPr>
      <t>冬青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</si>
  <si>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黄酒; 米酒;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威士忌</t>
    </r>
  </si>
  <si>
    <r>
      <t>馥芳良</t>
    </r>
    <r>
      <rPr>
        <sz val="11"/>
        <color theme="1"/>
        <rFont val="ＭＳ Ｐゴシック"/>
        <family val="3"/>
        <charset val="134"/>
        <scheme val="minor"/>
      </rPr>
      <t>饮</t>
    </r>
  </si>
  <si>
    <t>四川馥芳集生物科技有限公司</t>
  </si>
  <si>
    <r>
      <t>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利口酒;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食用酒精; 白酒</t>
    </r>
  </si>
  <si>
    <r>
      <t>奇嘉</t>
    </r>
    <r>
      <rPr>
        <sz val="11"/>
        <color theme="1"/>
        <rFont val="ＭＳ Ｐゴシック"/>
        <family val="3"/>
        <charset val="134"/>
        <scheme val="minor"/>
      </rPr>
      <t>凯</t>
    </r>
  </si>
  <si>
    <r>
      <t>许</t>
    </r>
    <r>
      <rPr>
        <sz val="11"/>
        <color theme="1"/>
        <rFont val="ＭＳ Ｐゴシック"/>
        <family val="3"/>
        <charset val="128"/>
        <scheme val="minor"/>
      </rPr>
      <t>奇有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</si>
  <si>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果酒（含酒精）; 白酒; 威士忌; 葡萄酒; 清酒（日本米酒）;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餐后酒（利口酒和烈酒）</t>
    </r>
  </si>
  <si>
    <t>RUNNING SQUIRREL</t>
  </si>
  <si>
    <t>深圳市松鼠快跑食品有限公司</t>
  </si>
  <si>
    <r>
      <t>葡萄酒; 黄酒; 果酒（含酒精）;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开胃酒; 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</si>
  <si>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金</t>
    </r>
    <r>
      <rPr>
        <sz val="11"/>
        <color theme="1"/>
        <rFont val="ＭＳ Ｐゴシック"/>
        <family val="3"/>
        <charset val="134"/>
        <scheme val="minor"/>
      </rPr>
      <t>贵</t>
    </r>
    <r>
      <rPr>
        <sz val="11"/>
        <color theme="1"/>
        <rFont val="ＭＳ Ｐゴシック"/>
        <family val="3"/>
        <charset val="128"/>
        <scheme val="minor"/>
      </rPr>
      <t>沙宝鼎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</si>
  <si>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利口酒; 清酒（日本米酒）; 果酒（含酒精）; 白酒; 伏特加酒;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</t>
    </r>
  </si>
  <si>
    <t>合穗</t>
  </si>
  <si>
    <r>
      <t>成都</t>
    </r>
    <r>
      <rPr>
        <sz val="11"/>
        <color theme="1"/>
        <rFont val="ＭＳ Ｐゴシック"/>
        <family val="3"/>
        <charset val="129"/>
        <scheme val="minor"/>
      </rPr>
      <t>优</t>
    </r>
    <r>
      <rPr>
        <sz val="11"/>
        <color theme="1"/>
        <rFont val="ＭＳ Ｐゴシック"/>
        <family val="3"/>
        <charset val="128"/>
        <scheme val="minor"/>
      </rPr>
      <t>瑞朗科技有限公司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</si>
  <si>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白干酒（中国白酒）; 果酒（含酒精）;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白酒; 米酒;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高粱酒</t>
    </r>
  </si>
  <si>
    <t>金典周</t>
  </si>
  <si>
    <r>
      <t>葡萄酒; 苦味酒;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白干酒（中国白酒）; 开胃酒; 高粱酒; 蒸煮提取物（利口酒和烈酒）;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白酒</t>
    </r>
  </si>
  <si>
    <t>梅斡</t>
  </si>
  <si>
    <r>
      <t>齐齐</t>
    </r>
    <r>
      <rPr>
        <sz val="11"/>
        <color theme="1"/>
        <rFont val="ＭＳ Ｐゴシック"/>
        <family val="3"/>
        <charset val="128"/>
        <scheme val="minor"/>
      </rPr>
      <t>哈</t>
    </r>
    <r>
      <rPr>
        <sz val="11"/>
        <color theme="1"/>
        <rFont val="ＭＳ Ｐゴシック"/>
        <family val="3"/>
        <charset val="134"/>
        <scheme val="minor"/>
      </rPr>
      <t>尔</t>
    </r>
    <r>
      <rPr>
        <sz val="11"/>
        <color theme="1"/>
        <rFont val="ＭＳ Ｐゴシック"/>
        <family val="3"/>
        <charset val="128"/>
        <scheme val="minor"/>
      </rPr>
      <t>市安格斯食品有限公司</t>
    </r>
  </si>
  <si>
    <r>
      <t>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清酒（日本米酒）; 米酒; 葡萄酒;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</si>
  <si>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仪</t>
    </r>
    <r>
      <rPr>
        <sz val="11"/>
        <color theme="1"/>
        <rFont val="ＭＳ Ｐゴシック"/>
        <family val="3"/>
        <charset val="128"/>
        <scheme val="minor"/>
      </rPr>
      <t>桐</t>
    </r>
  </si>
  <si>
    <r>
      <t>黄</t>
    </r>
    <r>
      <rPr>
        <sz val="11"/>
        <color theme="1"/>
        <rFont val="ＭＳ Ｐゴシック"/>
        <family val="3"/>
        <charset val="134"/>
        <scheme val="minor"/>
      </rPr>
      <t>乔</t>
    </r>
  </si>
  <si>
    <r>
      <t>果酒（含酒精）;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露酒; 汽酒; 白酒; 利口酒; 含酒精的充气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</si>
  <si>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老奶奶的鹿</t>
    </r>
    <r>
      <rPr>
        <sz val="11"/>
        <color theme="1"/>
        <rFont val="ＭＳ Ｐゴシック"/>
        <family val="3"/>
        <charset val="134"/>
        <scheme val="minor"/>
      </rPr>
      <t>场</t>
    </r>
  </si>
  <si>
    <r>
      <t>于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亮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</si>
  <si>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蜂蜜酒;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米酒;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</si>
  <si>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衡念</t>
  </si>
  <si>
    <r>
      <t xml:space="preserve">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白酒</t>
    </r>
  </si>
  <si>
    <r>
      <t>舍酒</t>
    </r>
    <r>
      <rPr>
        <sz val="11"/>
        <color theme="1"/>
        <rFont val="ＭＳ Ｐゴシック"/>
        <family val="3"/>
        <charset val="134"/>
        <scheme val="minor"/>
      </rPr>
      <t>记</t>
    </r>
  </si>
  <si>
    <r>
      <t>陕</t>
    </r>
    <r>
      <rPr>
        <sz val="11"/>
        <color theme="1"/>
        <rFont val="ＭＳ Ｐゴシック"/>
        <family val="3"/>
        <charset val="128"/>
        <scheme val="minor"/>
      </rPr>
      <t>西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方巨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</si>
  <si>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白酒; 米酒; 黄酒;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</si>
  <si>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EVERLEFT</t>
  </si>
  <si>
    <t>张伟</t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</si>
  <si>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威士忌; 果酒（含酒精）; 朗姆酒; 白酒; 葡萄酒; 伏特加酒;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黄酒; 食用酒精</t>
    </r>
  </si>
  <si>
    <r>
      <t>蓝</t>
    </r>
    <r>
      <rPr>
        <sz val="11"/>
        <color theme="1"/>
        <rFont val="ＭＳ Ｐゴシック"/>
        <family val="3"/>
        <charset val="128"/>
        <scheme val="minor"/>
      </rPr>
      <t>海</t>
    </r>
    <r>
      <rPr>
        <sz val="11"/>
        <color theme="1"/>
        <rFont val="ＭＳ Ｐゴシック"/>
        <family val="3"/>
        <charset val="134"/>
        <scheme val="minor"/>
      </rPr>
      <t>钟</t>
    </r>
    <r>
      <rPr>
        <sz val="11"/>
        <color theme="1"/>
        <rFont val="ＭＳ Ｐゴシック"/>
        <family val="3"/>
        <charset val="128"/>
        <scheme val="minor"/>
      </rPr>
      <t>鼎楼</t>
    </r>
  </si>
  <si>
    <r>
      <t>山</t>
    </r>
    <r>
      <rPr>
        <sz val="11"/>
        <color theme="1"/>
        <rFont val="ＭＳ Ｐゴシック"/>
        <family val="3"/>
        <charset val="134"/>
        <scheme val="minor"/>
      </rPr>
      <t>东蓝</t>
    </r>
    <r>
      <rPr>
        <sz val="11"/>
        <color theme="1"/>
        <rFont val="ＭＳ Ｐゴシック"/>
        <family val="3"/>
        <charset val="128"/>
        <scheme val="minor"/>
      </rPr>
      <t>海股份有限公司</t>
    </r>
  </si>
  <si>
    <r>
      <t xml:space="preserve">葡萄酒; 烈酒; 白干酒（中国白酒）; 果酒; 高粱酒;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</si>
  <si>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r>
      <t>星火</t>
    </r>
    <r>
      <rPr>
        <sz val="11"/>
        <color theme="1"/>
        <rFont val="ＭＳ Ｐゴシック"/>
        <family val="3"/>
        <charset val="134"/>
        <scheme val="minor"/>
      </rPr>
      <t>赣</t>
    </r>
    <r>
      <rPr>
        <sz val="11"/>
        <color theme="1"/>
        <rFont val="ＭＳ Ｐゴシック"/>
        <family val="3"/>
        <charset val="128"/>
        <scheme val="minor"/>
      </rPr>
      <t>香</t>
    </r>
  </si>
  <si>
    <r>
      <t>敖紫</t>
    </r>
    <r>
      <rPr>
        <sz val="11"/>
        <color theme="1"/>
        <rFont val="ＭＳ Ｐゴシック"/>
        <family val="3"/>
        <charset val="134"/>
        <scheme val="minor"/>
      </rPr>
      <t>荆</t>
    </r>
  </si>
  <si>
    <r>
      <t xml:space="preserve">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利口酒; 青稞酒;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白酒; 食用酒精; 汽酒; 开胃酒</t>
    </r>
  </si>
  <si>
    <t>黔世粱酒</t>
  </si>
  <si>
    <t>周震</t>
  </si>
  <si>
    <r>
      <t>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白干酒（中国白酒）;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高粱酒;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烈酒</t>
    </r>
  </si>
  <si>
    <r>
      <t>君</t>
    </r>
    <r>
      <rPr>
        <sz val="11"/>
        <color theme="1"/>
        <rFont val="ＭＳ Ｐゴシック"/>
        <family val="3"/>
        <charset val="134"/>
        <scheme val="minor"/>
      </rPr>
      <t>满乐</t>
    </r>
  </si>
  <si>
    <t>李振夭</t>
  </si>
  <si>
    <r>
      <t>威士忌; 米酒; 黄酒;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青稞酒;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</t>
    </r>
  </si>
  <si>
    <r>
      <t>昆明恩</t>
    </r>
    <r>
      <rPr>
        <sz val="11"/>
        <color theme="1"/>
        <rFont val="ＭＳ Ｐゴシック"/>
        <family val="3"/>
        <charset val="134"/>
        <scheme val="minor"/>
      </rPr>
      <t>欢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</si>
  <si>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t>清酒; 烈酒; 白酒; 葡萄酒; 黄酒; 蜂蜜酒; 青稞酒; 果酒（含酒精）; 食用酒精; 米酒</t>
  </si>
  <si>
    <t>七海一侠</t>
  </si>
  <si>
    <t>成都水石科技有限公司</t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</si>
  <si>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利口酒;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白酒; 食用酒精; 青稞酒;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</t>
    </r>
  </si>
  <si>
    <r>
      <t>薏</t>
    </r>
    <r>
      <rPr>
        <sz val="11"/>
        <color theme="1"/>
        <rFont val="ＭＳ Ｐゴシック"/>
        <family val="3"/>
        <charset val="129"/>
        <scheme val="minor"/>
      </rPr>
      <t>优</t>
    </r>
    <r>
      <rPr>
        <sz val="11"/>
        <color theme="1"/>
        <rFont val="ＭＳ Ｐゴシック"/>
        <family val="3"/>
        <charset val="134"/>
        <scheme val="minor"/>
      </rPr>
      <t>阁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</si>
  <si>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州藏宝</t>
    </r>
    <r>
      <rPr>
        <sz val="11"/>
        <color theme="1"/>
        <rFont val="ＭＳ Ｐゴシック"/>
        <family val="3"/>
        <charset val="134"/>
        <scheme val="minor"/>
      </rPr>
      <t>阁电</t>
    </r>
    <r>
      <rPr>
        <sz val="11"/>
        <color theme="1"/>
        <rFont val="ＭＳ Ｐゴシック"/>
        <family val="3"/>
        <charset val="128"/>
        <scheme val="minor"/>
      </rPr>
      <t>子商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</si>
  <si>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 xml:space="preserve">高粱酒; 烈酒; 甜酒; 白酒; 开胃酒; 果酒;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>酒; 葡萄酒</t>
    </r>
  </si>
  <si>
    <t>丹江座 D</t>
  </si>
  <si>
    <r>
      <t>烈酒; 蒸煮提取物（利口酒和烈酒）; 葡萄酒;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黄酒; 青稞酒;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</t>
    </r>
  </si>
  <si>
    <r>
      <t>嘉途嘉</t>
    </r>
    <r>
      <rPr>
        <sz val="11"/>
        <color theme="1"/>
        <rFont val="ＭＳ Ｐゴシック"/>
        <family val="3"/>
        <charset val="134"/>
        <scheme val="minor"/>
      </rPr>
      <t>酿</t>
    </r>
  </si>
  <si>
    <r>
      <t>深圳市</t>
    </r>
    <r>
      <rPr>
        <sz val="11"/>
        <color theme="1"/>
        <rFont val="ＭＳ Ｐゴシック"/>
        <family val="3"/>
        <charset val="134"/>
        <scheme val="minor"/>
      </rPr>
      <t>华侨</t>
    </r>
    <r>
      <rPr>
        <sz val="11"/>
        <color theme="1"/>
        <rFont val="ＭＳ Ｐゴシック"/>
        <family val="3"/>
        <charset val="128"/>
        <scheme val="minor"/>
      </rPr>
      <t>城国</t>
    </r>
    <r>
      <rPr>
        <sz val="11"/>
        <color theme="1"/>
        <rFont val="ＭＳ Ｐゴシック"/>
        <family val="3"/>
        <charset val="134"/>
        <scheme val="minor"/>
      </rPr>
      <t>际</t>
    </r>
    <r>
      <rPr>
        <sz val="11"/>
        <color theme="1"/>
        <rFont val="ＭＳ Ｐゴシック"/>
        <family val="3"/>
        <charset val="128"/>
        <scheme val="minor"/>
      </rPr>
      <t>酒店管理有限公司</t>
    </r>
  </si>
  <si>
    <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含酒精的水果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含酒精的充气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汽酒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</si>
  <si>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湘黔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</si>
  <si>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州百永</t>
    </r>
    <r>
      <rPr>
        <sz val="11"/>
        <color theme="1"/>
        <rFont val="ＭＳ Ｐゴシック"/>
        <family val="3"/>
        <charset val="134"/>
        <scheme val="minor"/>
      </rPr>
      <t>兴</t>
    </r>
    <r>
      <rPr>
        <sz val="11"/>
        <color theme="1"/>
        <rFont val="ＭＳ Ｐゴシック"/>
        <family val="3"/>
        <charset val="128"/>
        <scheme val="minor"/>
      </rPr>
      <t>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</si>
  <si>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果酒（含酒精）; 高粱酒;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利口酒;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</si>
  <si>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金青</t>
    </r>
    <r>
      <rPr>
        <sz val="11"/>
        <color theme="1"/>
        <rFont val="ＭＳ Ｐゴシック"/>
        <family val="3"/>
        <charset val="134"/>
        <scheme val="minor"/>
      </rPr>
      <t>创</t>
    </r>
    <r>
      <rPr>
        <sz val="11"/>
        <color theme="1"/>
        <rFont val="ＭＳ Ｐゴシック"/>
        <family val="3"/>
        <charset val="128"/>
        <scheme val="minor"/>
      </rPr>
      <t>·匠人</t>
    </r>
    <r>
      <rPr>
        <sz val="11"/>
        <color theme="1"/>
        <rFont val="ＭＳ Ｐゴシック"/>
        <family val="3"/>
        <charset val="134"/>
        <scheme val="minor"/>
      </rPr>
      <t>计</t>
    </r>
    <r>
      <rPr>
        <sz val="11"/>
        <color theme="1"/>
        <rFont val="ＭＳ Ｐゴシック"/>
        <family val="3"/>
        <charset val="128"/>
        <scheme val="minor"/>
      </rPr>
      <t>划</t>
    </r>
  </si>
  <si>
    <r>
      <t>金沙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春</t>
    </r>
    <r>
      <rPr>
        <sz val="11"/>
        <color theme="1"/>
        <rFont val="ＭＳ Ｐゴシック"/>
        <family val="3"/>
        <charset val="134"/>
        <scheme val="minor"/>
      </rPr>
      <t>晖</t>
    </r>
    <r>
      <rPr>
        <sz val="11"/>
        <color theme="1"/>
        <rFont val="ＭＳ Ｐゴシック"/>
        <family val="3"/>
        <charset val="128"/>
        <scheme val="minor"/>
      </rPr>
      <t>青</t>
    </r>
    <r>
      <rPr>
        <sz val="11"/>
        <color theme="1"/>
        <rFont val="ＭＳ Ｐゴシック"/>
        <family val="3"/>
        <charset val="134"/>
        <scheme val="minor"/>
      </rPr>
      <t>创销</t>
    </r>
    <r>
      <rPr>
        <sz val="11"/>
        <color theme="1"/>
        <rFont val="ＭＳ Ｐゴシック"/>
        <family val="3"/>
        <charset val="128"/>
        <scheme val="minor"/>
      </rPr>
      <t>售部</t>
    </r>
  </si>
  <si>
    <r>
      <t>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米酒;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白酒; 汽酒; 葡萄酒</t>
    </r>
  </si>
  <si>
    <t>杏玖祥</t>
  </si>
  <si>
    <r>
      <t>武小</t>
    </r>
    <r>
      <rPr>
        <sz val="11"/>
        <color theme="1"/>
        <rFont val="ＭＳ Ｐゴシック"/>
        <family val="3"/>
        <charset val="134"/>
        <scheme val="minor"/>
      </rPr>
      <t>龙</t>
    </r>
  </si>
  <si>
    <r>
      <t xml:space="preserve">蒸煮提取物（利口酒和烈酒）;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清酒（日本米酒）;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食用酒精; 葡萄酒</t>
    </r>
  </si>
  <si>
    <r>
      <t>山西</t>
    </r>
    <r>
      <rPr>
        <sz val="11"/>
        <color theme="1"/>
        <rFont val="ＭＳ Ｐゴシック"/>
        <family val="3"/>
        <charset val="134"/>
        <scheme val="minor"/>
      </rPr>
      <t>顺</t>
    </r>
    <r>
      <rPr>
        <sz val="11"/>
        <color theme="1"/>
        <rFont val="ＭＳ Ｐゴシック"/>
        <family val="3"/>
        <charset val="128"/>
        <scheme val="minor"/>
      </rPr>
      <t>烽酒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</si>
  <si>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蒸煮提取物（利口酒和烈酒）;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米酒; 青稞酒</t>
    </r>
  </si>
  <si>
    <r>
      <t>善</t>
    </r>
    <r>
      <rPr>
        <sz val="11"/>
        <color theme="1"/>
        <rFont val="ＭＳ Ｐゴシック"/>
        <family val="3"/>
        <charset val="134"/>
        <scheme val="minor"/>
      </rPr>
      <t>泸</t>
    </r>
    <r>
      <rPr>
        <sz val="11"/>
        <color theme="1"/>
        <rFont val="ＭＳ Ｐゴシック"/>
        <family val="3"/>
        <charset val="128"/>
        <scheme val="minor"/>
      </rPr>
      <t xml:space="preserve"> 善行天下 美酒醉</t>
    </r>
    <r>
      <rPr>
        <sz val="11"/>
        <color theme="1"/>
        <rFont val="ＭＳ Ｐゴシック"/>
        <family val="3"/>
        <charset val="134"/>
        <scheme val="minor"/>
      </rPr>
      <t>泸</t>
    </r>
  </si>
  <si>
    <r>
      <t>泸</t>
    </r>
    <r>
      <rPr>
        <sz val="11"/>
        <color theme="1"/>
        <rFont val="ＭＳ Ｐゴシック"/>
        <family val="3"/>
        <charset val="128"/>
        <scheme val="minor"/>
      </rPr>
      <t>州珍窖酒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</si>
  <si>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白干酒（中国白酒）;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白酒; 果酒;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葡萄酒; 汽酒; 米酒</t>
    </r>
  </si>
  <si>
    <t>DREAM GARDEN</t>
  </si>
  <si>
    <t>烟台意隆包装有限公司</t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</si>
  <si>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黄酒</t>
    </r>
  </si>
  <si>
    <r>
      <t>求</t>
    </r>
    <r>
      <rPr>
        <sz val="11"/>
        <color theme="1"/>
        <rFont val="ＭＳ Ｐゴシック"/>
        <family val="3"/>
        <charset val="134"/>
        <scheme val="minor"/>
      </rPr>
      <t>阅</t>
    </r>
  </si>
  <si>
    <r>
      <t>纪亚</t>
    </r>
    <r>
      <rPr>
        <sz val="11"/>
        <color theme="1"/>
        <rFont val="ＭＳ Ｐゴシック"/>
        <family val="3"/>
        <charset val="128"/>
        <scheme val="minor"/>
      </rPr>
      <t>民</t>
    </r>
  </si>
  <si>
    <r>
      <t>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苹果酒; 米酒;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甜酒</t>
    </r>
  </si>
  <si>
    <r>
      <t>宜昌放翁酒家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食有限公司</t>
    </r>
  </si>
  <si>
    <r>
      <t>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黄酒; 含酒精的充气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白酒;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梅酒; 高粱酒;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</si>
  <si>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花火</t>
    </r>
    <r>
      <rPr>
        <sz val="11"/>
        <color theme="1"/>
        <rFont val="ＭＳ Ｐゴシック"/>
        <family val="3"/>
        <charset val="134"/>
        <scheme val="minor"/>
      </rPr>
      <t>汇</t>
    </r>
    <r>
      <rPr>
        <sz val="11"/>
        <color theme="1"/>
        <rFont val="ＭＳ Ｐゴシック"/>
        <family val="3"/>
        <charset val="128"/>
        <scheme val="minor"/>
      </rPr>
      <t>友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</si>
  <si>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州宋窖酒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</si>
  <si>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清酒; 薄荷酒; 果酒（含酒精）; 开胃酒;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柑香酒; 蜂蜜酒;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</t>
    </r>
  </si>
  <si>
    <t>杏玖道</t>
  </si>
  <si>
    <r>
      <t>食用酒精;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清酒（日本米酒）;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蒸煮提取物（利口酒和烈酒）</t>
    </r>
  </si>
  <si>
    <t>孟鑫酒坊</t>
  </si>
  <si>
    <t>郑丽</t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</si>
  <si>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果酒（含酒精）; 高粱酒;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葡萄酒; 黄酒; 清酒（日本米酒）</t>
    </r>
  </si>
  <si>
    <r>
      <t>赴</t>
    </r>
    <r>
      <rPr>
        <sz val="11"/>
        <color theme="1"/>
        <rFont val="ＭＳ Ｐゴシック"/>
        <family val="3"/>
        <charset val="134"/>
        <scheme val="minor"/>
      </rPr>
      <t>欢</t>
    </r>
  </si>
  <si>
    <r>
      <t>柴文</t>
    </r>
    <r>
      <rPr>
        <sz val="11"/>
        <color theme="1"/>
        <rFont val="ＭＳ Ｐゴシック"/>
        <family val="3"/>
        <charset val="129"/>
        <scheme val="minor"/>
      </rPr>
      <t>强</t>
    </r>
  </si>
  <si>
    <r>
      <t>米酒; 葡萄酒; 黄酒; 白酒; 以蒸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主的开胃酒; 高粱酒;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 xml:space="preserve">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</si>
  <si>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烁鲜</t>
  </si>
  <si>
    <r>
      <t>宁夏</t>
    </r>
    <r>
      <rPr>
        <sz val="11"/>
        <color theme="1"/>
        <rFont val="ＭＳ Ｐゴシック"/>
        <family val="3"/>
        <charset val="134"/>
        <scheme val="minor"/>
      </rPr>
      <t>烁鲜</t>
    </r>
    <r>
      <rPr>
        <sz val="11"/>
        <color theme="1"/>
        <rFont val="ＭＳ Ｐゴシック"/>
        <family val="3"/>
        <charset val="128"/>
        <scheme val="minor"/>
      </rPr>
      <t>生物科技有限公司</t>
    </r>
  </si>
  <si>
    <r>
      <t>果酒（含酒精）;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清酒（日本米酒）</t>
    </r>
  </si>
  <si>
    <r>
      <t>烈酒;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蒸煮提取物（利口酒和烈酒）;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青稞酒;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果酒; 葡萄酒</t>
    </r>
  </si>
  <si>
    <t>如系 RURXILKN</t>
  </si>
  <si>
    <t>郭茂洲</t>
  </si>
  <si>
    <r>
      <t xml:space="preserve">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米酒; 食用酒精; 白酒; 果酒; 烈酒</t>
    </r>
  </si>
  <si>
    <t>WESTERN WILDERNESS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</si>
  <si>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州西部荒野酒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</si>
  <si>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米酒; 果酒（含酒精）; 烈酒;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利口酒; 葡萄酒;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</t>
    </r>
  </si>
  <si>
    <r>
      <t>良山好</t>
    </r>
    <r>
      <rPr>
        <sz val="11"/>
        <color theme="1"/>
        <rFont val="ＭＳ Ｐゴシック"/>
        <family val="3"/>
        <charset val="134"/>
        <scheme val="minor"/>
      </rPr>
      <t>汉</t>
    </r>
  </si>
  <si>
    <r>
      <t>南安市良山开心家庭</t>
    </r>
    <r>
      <rPr>
        <sz val="11"/>
        <color theme="1"/>
        <rFont val="ＭＳ Ｐゴシック"/>
        <family val="3"/>
        <charset val="134"/>
        <scheme val="minor"/>
      </rPr>
      <t>农场</t>
    </r>
  </si>
  <si>
    <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</si>
  <si>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t>山酉迎宝</t>
  </si>
  <si>
    <r>
      <t>梨</t>
    </r>
    <r>
      <rPr>
        <sz val="11"/>
        <color theme="1"/>
        <rFont val="ＭＳ Ｐゴシック"/>
        <family val="3"/>
        <charset val="134"/>
        <scheme val="minor"/>
      </rPr>
      <t>树县</t>
    </r>
    <r>
      <rPr>
        <sz val="11"/>
        <color theme="1"/>
        <rFont val="ＭＳ Ｐゴシック"/>
        <family val="3"/>
        <charset val="128"/>
        <scheme val="minor"/>
      </rPr>
      <t>偏</t>
    </r>
    <r>
      <rPr>
        <sz val="11"/>
        <color theme="1"/>
        <rFont val="ＭＳ Ｐゴシック"/>
        <family val="3"/>
        <charset val="134"/>
        <scheme val="minor"/>
      </rPr>
      <t>脸</t>
    </r>
    <r>
      <rPr>
        <sz val="11"/>
        <color theme="1"/>
        <rFont val="ＭＳ Ｐゴシック"/>
        <family val="3"/>
        <charset val="128"/>
        <scheme val="minor"/>
      </rPr>
      <t>城酒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</si>
  <si>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青稞酒; 白干酒（中国白酒）; 高粱酒; 葡萄酒</t>
    </r>
  </si>
  <si>
    <t>励醉美</t>
  </si>
  <si>
    <t>四川励信生物科技有限公司</t>
  </si>
  <si>
    <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葡萄酒; 蜂蜜酒;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白酒;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</t>
    </r>
  </si>
  <si>
    <t>杏玖君</t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</si>
  <si>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食用酒精;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蒸煮提取物（利口酒和烈酒）;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</si>
  <si>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誉医信</t>
  </si>
  <si>
    <r>
      <t>广州医信俱</t>
    </r>
    <r>
      <rPr>
        <sz val="11"/>
        <color theme="1"/>
        <rFont val="ＭＳ Ｐゴシック"/>
        <family val="3"/>
        <charset val="134"/>
        <scheme val="minor"/>
      </rPr>
      <t>乐</t>
    </r>
    <r>
      <rPr>
        <sz val="11"/>
        <color theme="1"/>
        <rFont val="ＭＳ Ｐゴシック"/>
        <family val="3"/>
        <charset val="128"/>
        <scheme val="minor"/>
      </rPr>
      <t>部有限公司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</si>
  <si>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汽酒;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</si>
  <si>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蒙黛</t>
    </r>
    <r>
      <rPr>
        <sz val="11"/>
        <color theme="1"/>
        <rFont val="ＭＳ Ｐゴシック"/>
        <family val="3"/>
        <charset val="134"/>
        <scheme val="minor"/>
      </rPr>
      <t>丝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</si>
  <si>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t>汽酒; 葡萄酒</t>
  </si>
  <si>
    <r>
      <t>新</t>
    </r>
    <r>
      <rPr>
        <sz val="11"/>
        <color theme="1"/>
        <rFont val="ＭＳ Ｐゴシック"/>
        <family val="3"/>
        <charset val="134"/>
        <scheme val="minor"/>
      </rPr>
      <t>农</t>
    </r>
    <r>
      <rPr>
        <sz val="11"/>
        <color theme="1"/>
        <rFont val="ＭＳ Ｐゴシック"/>
        <family val="3"/>
        <charset val="128"/>
        <scheme val="minor"/>
      </rPr>
      <t>夫李</t>
    </r>
    <r>
      <rPr>
        <sz val="11"/>
        <color theme="1"/>
        <rFont val="ＭＳ Ｐゴシック"/>
        <family val="3"/>
        <charset val="134"/>
        <scheme val="minor"/>
      </rPr>
      <t>权龙</t>
    </r>
  </si>
  <si>
    <r>
      <t>河南</t>
    </r>
    <r>
      <rPr>
        <sz val="11"/>
        <color theme="1"/>
        <rFont val="ＭＳ Ｐゴシック"/>
        <family val="3"/>
        <charset val="134"/>
        <scheme val="minor"/>
      </rPr>
      <t>农购</t>
    </r>
    <r>
      <rPr>
        <sz val="11"/>
        <color theme="1"/>
        <rFont val="ＭＳ Ｐゴシック"/>
        <family val="3"/>
        <charset val="128"/>
        <scheme val="minor"/>
      </rPr>
      <t>信息科技有限公司</t>
    </r>
  </si>
  <si>
    <r>
      <t xml:space="preserve">果酒（含酒精）; 蜂蜜酒; 清酒（日本米酒）;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</si>
  <si>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砡茗椿</t>
  </si>
  <si>
    <r>
      <t>珠海市</t>
    </r>
    <r>
      <rPr>
        <sz val="11"/>
        <color theme="1"/>
        <rFont val="ＭＳ Ｐゴシック"/>
        <family val="3"/>
        <charset val="129"/>
        <scheme val="minor"/>
      </rPr>
      <t>翱</t>
    </r>
    <r>
      <rPr>
        <sz val="11"/>
        <color theme="1"/>
        <rFont val="ＭＳ Ｐゴシック"/>
        <family val="3"/>
        <charset val="128"/>
        <scheme val="minor"/>
      </rPr>
      <t>莱登酒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</si>
  <si>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果酒（含酒精）; 葡萄酒; 黄酒;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威士忌; 米酒; 利口酒</t>
    </r>
  </si>
  <si>
    <r>
      <t>深圳市地</t>
    </r>
    <r>
      <rPr>
        <sz val="11"/>
        <color theme="1"/>
        <rFont val="ＭＳ Ｐゴシック"/>
        <family val="3"/>
        <charset val="134"/>
        <scheme val="minor"/>
      </rPr>
      <t>铁</t>
    </r>
    <r>
      <rPr>
        <sz val="11"/>
        <color theme="1"/>
        <rFont val="ＭＳ Ｐゴシック"/>
        <family val="3"/>
        <charset val="128"/>
        <scheme val="minor"/>
      </rPr>
      <t>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</si>
  <si>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食用酒精;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开胃酒; 清酒; 葡萄酒; 白酒</t>
    </r>
  </si>
  <si>
    <t>松鼠快跑</t>
  </si>
  <si>
    <r>
      <t>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清酒（日本米酒）;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开胃酒; 葡萄酒; 白酒</t>
    </r>
  </si>
  <si>
    <r>
      <t>耕午</t>
    </r>
    <r>
      <rPr>
        <sz val="11"/>
        <color theme="1"/>
        <rFont val="ＭＳ Ｐゴシック"/>
        <family val="3"/>
        <charset val="134"/>
        <scheme val="minor"/>
      </rPr>
      <t>记</t>
    </r>
  </si>
  <si>
    <r>
      <t>黑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江省</t>
    </r>
    <r>
      <rPr>
        <sz val="11"/>
        <color theme="1"/>
        <rFont val="ＭＳ Ｐゴシック"/>
        <family val="3"/>
        <charset val="129"/>
        <scheme val="minor"/>
      </rPr>
      <t>优</t>
    </r>
    <r>
      <rPr>
        <sz val="11"/>
        <color theme="1"/>
        <rFont val="ＭＳ Ｐゴシック"/>
        <family val="3"/>
        <charset val="128"/>
        <scheme val="minor"/>
      </rPr>
      <t>采</t>
    </r>
    <r>
      <rPr>
        <sz val="11"/>
        <color theme="1"/>
        <rFont val="ＭＳ Ｐゴシック"/>
        <family val="3"/>
        <charset val="134"/>
        <scheme val="minor"/>
      </rPr>
      <t>农</t>
    </r>
    <r>
      <rPr>
        <sz val="11"/>
        <color theme="1"/>
        <rFont val="ＭＳ Ｐゴシック"/>
        <family val="3"/>
        <charset val="128"/>
        <scheme val="minor"/>
      </rPr>
      <t>品多</t>
    </r>
    <r>
      <rPr>
        <sz val="11"/>
        <color theme="1"/>
        <rFont val="ＭＳ Ｐゴシック"/>
        <family val="3"/>
        <charset val="134"/>
        <scheme val="minor"/>
      </rPr>
      <t>农业</t>
    </r>
    <r>
      <rPr>
        <sz val="11"/>
        <color theme="1"/>
        <rFont val="ＭＳ Ｐゴシック"/>
        <family val="3"/>
        <charset val="128"/>
        <scheme val="minor"/>
      </rPr>
      <t>科技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</si>
  <si>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 xml:space="preserve">白酒;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伏特加酒</t>
    </r>
  </si>
  <si>
    <t>IN·RHYTHM</t>
  </si>
  <si>
    <r>
      <t>加里空</t>
    </r>
    <r>
      <rPr>
        <sz val="11"/>
        <color theme="1"/>
        <rFont val="ＭＳ Ｐゴシック"/>
        <family val="3"/>
        <charset val="134"/>
        <scheme val="minor"/>
      </rPr>
      <t>间</t>
    </r>
    <r>
      <rPr>
        <sz val="11"/>
        <color theme="1"/>
        <rFont val="ＭＳ Ｐゴシック"/>
        <family val="3"/>
        <charset val="128"/>
        <scheme val="minor"/>
      </rPr>
      <t>商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</si>
  <si>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米酒; 伏特加酒; 葡萄酒; 朗姆酒;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</si>
  <si>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度量</t>
    </r>
    <r>
      <rPr>
        <sz val="11"/>
        <color theme="1"/>
        <rFont val="ＭＳ Ｐゴシック"/>
        <family val="3"/>
        <charset val="134"/>
        <scheme val="minor"/>
      </rPr>
      <t>诚</t>
    </r>
    <r>
      <rPr>
        <sz val="11"/>
        <color theme="1"/>
        <rFont val="ＭＳ Ｐゴシック"/>
        <family val="3"/>
        <charset val="128"/>
        <scheme val="minor"/>
      </rPr>
      <t>度匠</t>
    </r>
  </si>
  <si>
    <r>
      <t>成都度量</t>
    </r>
    <r>
      <rPr>
        <sz val="11"/>
        <color theme="1"/>
        <rFont val="ＭＳ Ｐゴシック"/>
        <family val="3"/>
        <charset val="134"/>
        <scheme val="minor"/>
      </rPr>
      <t>诚测绘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</si>
  <si>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黄酒; 白酒;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</si>
  <si>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BLOOMORE</t>
  </si>
  <si>
    <r>
      <t>华</t>
    </r>
    <r>
      <rPr>
        <sz val="11"/>
        <color theme="1"/>
        <rFont val="ＭＳ Ｐゴシック"/>
        <family val="3"/>
        <charset val="128"/>
        <scheme val="minor"/>
      </rPr>
      <t>熙生物科技股份有限公司</t>
    </r>
  </si>
  <si>
    <r>
      <t>白酒;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薄荷酒;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</t>
    </r>
  </si>
  <si>
    <t>博拿古 CHATEAU BONALGUE</t>
  </si>
  <si>
    <r>
      <t>博拿古城堡</t>
    </r>
    <r>
      <rPr>
        <sz val="11"/>
        <color theme="1"/>
        <rFont val="ＭＳ Ｐゴシック"/>
        <family val="3"/>
        <charset val="134"/>
        <scheme val="minor"/>
      </rPr>
      <t>农</t>
    </r>
    <r>
      <rPr>
        <sz val="11"/>
        <color theme="1"/>
        <rFont val="ＭＳ Ｐゴシック"/>
        <family val="3"/>
        <charset val="128"/>
        <scheme val="minor"/>
      </rPr>
      <t>地</t>
    </r>
    <r>
      <rPr>
        <sz val="11"/>
        <color theme="1"/>
        <rFont val="ＭＳ Ｐゴシック"/>
        <family val="3"/>
        <charset val="134"/>
        <scheme val="minor"/>
      </rPr>
      <t>组织</t>
    </r>
  </si>
  <si>
    <r>
      <t>葡萄酒; 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朗姆酒;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混合威士忌酒;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伏特加酒; 果酒（含酒精）</t>
    </r>
  </si>
  <si>
    <r>
      <t>明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云酒</t>
    </r>
  </si>
  <si>
    <r>
      <t>安徽明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</si>
  <si>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清酒（日本米酒）;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开胃酒</t>
    </r>
  </si>
  <si>
    <r>
      <t>个山</t>
    </r>
    <r>
      <rPr>
        <sz val="11"/>
        <color theme="1"/>
        <rFont val="ＭＳ Ｐゴシック"/>
        <family val="3"/>
        <charset val="134"/>
        <scheme val="minor"/>
      </rPr>
      <t>酿</t>
    </r>
  </si>
  <si>
    <r>
      <t>海南宜</t>
    </r>
    <r>
      <rPr>
        <sz val="11"/>
        <color theme="1"/>
        <rFont val="ＭＳ Ｐゴシック"/>
        <family val="3"/>
        <charset val="134"/>
        <scheme val="minor"/>
      </rPr>
      <t>轻</t>
    </r>
    <r>
      <rPr>
        <sz val="11"/>
        <color theme="1"/>
        <rFont val="ＭＳ Ｐゴシック"/>
        <family val="3"/>
        <charset val="128"/>
        <scheme val="minor"/>
      </rPr>
      <t>堂</t>
    </r>
    <r>
      <rPr>
        <sz val="11"/>
        <color theme="1"/>
        <rFont val="ＭＳ Ｐゴシック"/>
        <family val="3"/>
        <charset val="134"/>
        <scheme val="minor"/>
      </rPr>
      <t>实业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</si>
  <si>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白干酒（中国白酒）;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高粱酒; 黄酒; 烈酒; 烈性干酒</t>
    </r>
  </si>
  <si>
    <t>功昊</t>
  </si>
  <si>
    <r>
      <t>海南功昊</t>
    </r>
    <r>
      <rPr>
        <sz val="11"/>
        <color theme="1"/>
        <rFont val="ＭＳ Ｐゴシック"/>
        <family val="3"/>
        <charset val="134"/>
        <scheme val="minor"/>
      </rPr>
      <t>实业</t>
    </r>
    <r>
      <rPr>
        <sz val="11"/>
        <color theme="1"/>
        <rFont val="ＭＳ Ｐゴシック"/>
        <family val="3"/>
        <charset val="128"/>
        <scheme val="minor"/>
      </rPr>
      <t>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</si>
  <si>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葡萄酒; 果酒; 黄酒; 蜂蜜酒; 高粱酒; 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清酒;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</si>
  <si>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芳尊享</t>
    </r>
  </si>
  <si>
    <r>
      <t>赵</t>
    </r>
    <r>
      <rPr>
        <sz val="11"/>
        <color theme="1"/>
        <rFont val="ＭＳ Ｐゴシック"/>
        <family val="3"/>
        <charset val="128"/>
        <scheme val="minor"/>
      </rPr>
      <t>波</t>
    </r>
  </si>
  <si>
    <r>
      <t>烈酒;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开胃酒; 米酒;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的白酒;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威士忌; 白酒; 葡萄酒</t>
    </r>
  </si>
  <si>
    <r>
      <t>竼</t>
    </r>
    <r>
      <rPr>
        <sz val="11"/>
        <color theme="1"/>
        <rFont val="ＭＳ Ｐゴシック"/>
        <family val="3"/>
        <charset val="128"/>
        <scheme val="minor"/>
      </rPr>
      <t>真</t>
    </r>
  </si>
  <si>
    <r>
      <t>陈</t>
    </r>
    <r>
      <rPr>
        <sz val="11"/>
        <color theme="1"/>
        <rFont val="ＭＳ Ｐゴシック"/>
        <family val="3"/>
        <charset val="128"/>
        <scheme val="minor"/>
      </rPr>
      <t>恒</t>
    </r>
    <r>
      <rPr>
        <sz val="11"/>
        <color theme="1"/>
        <rFont val="ＭＳ Ｐゴシック"/>
        <family val="3"/>
        <charset val="134"/>
        <scheme val="minor"/>
      </rPr>
      <t>发</t>
    </r>
  </si>
  <si>
    <r>
      <t>白酒;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米酒; 威士忌;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</t>
    </r>
  </si>
  <si>
    <r>
      <t>东</t>
    </r>
    <r>
      <rPr>
        <sz val="11"/>
        <color theme="1"/>
        <rFont val="ＭＳ Ｐゴシック"/>
        <family val="3"/>
        <charset val="128"/>
        <scheme val="minor"/>
      </rPr>
      <t>方礼</t>
    </r>
    <r>
      <rPr>
        <sz val="11"/>
        <color theme="1"/>
        <rFont val="ＭＳ Ｐゴシック"/>
        <family val="3"/>
        <charset val="134"/>
        <scheme val="minor"/>
      </rPr>
      <t>赞</t>
    </r>
  </si>
  <si>
    <r>
      <t>邵悦</t>
    </r>
    <r>
      <rPr>
        <sz val="11"/>
        <color theme="1"/>
        <rFont val="ＭＳ Ｐゴシック"/>
        <family val="3"/>
        <charset val="134"/>
        <scheme val="minor"/>
      </rPr>
      <t>诚</t>
    </r>
    <r>
      <rPr>
        <sz val="11"/>
        <color theme="1"/>
        <rFont val="ＭＳ Ｐゴシック"/>
        <family val="3"/>
        <charset val="128"/>
        <scheme val="minor"/>
      </rPr>
      <t>******************</t>
    </r>
  </si>
  <si>
    <r>
      <t xml:space="preserve">蒸煮提取物（利口酒和烈酒）; 葡萄酒; 白酒;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果酒（含酒精）;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</si>
  <si>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纯</t>
    </r>
    <r>
      <rPr>
        <sz val="11"/>
        <color theme="1"/>
        <rFont val="ＭＳ Ｐゴシック"/>
        <family val="3"/>
        <charset val="128"/>
        <scheme val="minor"/>
      </rPr>
      <t>箴</t>
    </r>
  </si>
  <si>
    <r>
      <t>广</t>
    </r>
    <r>
      <rPr>
        <sz val="11"/>
        <color theme="1"/>
        <rFont val="ＭＳ Ｐゴシック"/>
        <family val="3"/>
        <charset val="134"/>
        <scheme val="minor"/>
      </rPr>
      <t>东兴</t>
    </r>
    <r>
      <rPr>
        <sz val="11"/>
        <color theme="1"/>
        <rFont val="ＭＳ Ｐゴシック"/>
        <family val="3"/>
        <charset val="128"/>
        <scheme val="minor"/>
      </rPr>
      <t>湃酒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</si>
  <si>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黄酒; 白酒; 威士忌;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清酒; 烈酒;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</t>
    </r>
  </si>
  <si>
    <r>
      <t>岐</t>
    </r>
    <r>
      <rPr>
        <sz val="11"/>
        <color theme="1"/>
        <rFont val="ＭＳ Ｐゴシック"/>
        <family val="3"/>
        <charset val="134"/>
        <scheme val="minor"/>
      </rPr>
      <t>汇</t>
    </r>
    <r>
      <rPr>
        <sz val="11"/>
        <color theme="1"/>
        <rFont val="ＭＳ Ｐゴシック"/>
        <family val="3"/>
        <charset val="128"/>
        <scheme val="minor"/>
      </rPr>
      <t>堂</t>
    </r>
  </si>
  <si>
    <r>
      <t>福建省蒲公英</t>
    </r>
    <r>
      <rPr>
        <sz val="11"/>
        <color theme="1"/>
        <rFont val="ＭＳ Ｐゴシック"/>
        <family val="3"/>
        <charset val="134"/>
        <scheme val="minor"/>
      </rPr>
      <t>农业专业</t>
    </r>
    <r>
      <rPr>
        <sz val="11"/>
        <color theme="1"/>
        <rFont val="ＭＳ Ｐゴシック"/>
        <family val="3"/>
        <charset val="128"/>
        <scheme val="minor"/>
      </rPr>
      <t>合作社</t>
    </r>
  </si>
  <si>
    <r>
      <t>白酒; 果酒; 伏特加酒;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</si>
  <si>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战</t>
    </r>
    <r>
      <rPr>
        <sz val="11"/>
        <color theme="1"/>
        <rFont val="ＭＳ Ｐゴシック"/>
        <family val="3"/>
        <charset val="128"/>
        <scheme val="minor"/>
      </rPr>
      <t>鼓</t>
    </r>
  </si>
  <si>
    <r>
      <t>餐后酒（利口酒和烈酒）; 杜松子酒; 利口酒;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黄酒</t>
    </r>
  </si>
  <si>
    <t>NUNSONGI</t>
  </si>
  <si>
    <r>
      <t>前</t>
    </r>
    <r>
      <rPr>
        <sz val="11"/>
        <color theme="1"/>
        <rFont val="ＭＳ Ｐゴシック"/>
        <family val="3"/>
        <charset val="134"/>
        <scheme val="minor"/>
      </rPr>
      <t>进</t>
    </r>
    <r>
      <rPr>
        <sz val="11"/>
        <color theme="1"/>
        <rFont val="ＭＳ Ｐゴシック"/>
        <family val="3"/>
        <charset val="128"/>
        <scheme val="minor"/>
      </rPr>
      <t>商明原糖加工厂</t>
    </r>
  </si>
  <si>
    <r>
      <t>苹果酒; 利口酒; 蜂蜜酒; 甘蔗制酒精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</si>
  <si>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库岛</t>
  </si>
  <si>
    <r>
      <t>西安卓谷商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</si>
  <si>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威士忌;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苹果酒; 汽酒</t>
    </r>
  </si>
  <si>
    <r>
      <t>万</t>
    </r>
    <r>
      <rPr>
        <sz val="11"/>
        <color theme="1"/>
        <rFont val="ＭＳ Ｐゴシック"/>
        <family val="3"/>
        <charset val="134"/>
        <scheme val="minor"/>
      </rPr>
      <t>绿</t>
    </r>
    <r>
      <rPr>
        <sz val="11"/>
        <color theme="1"/>
        <rFont val="ＭＳ Ｐゴシック"/>
        <family val="3"/>
        <charset val="128"/>
        <scheme val="minor"/>
      </rPr>
      <t>林田</t>
    </r>
  </si>
  <si>
    <r>
      <t>西悦(广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)餐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</si>
  <si>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蜂蜜酒; 威士忌; 白葡萄酒; 高粱酒; 葡萄酒; 米酒;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白酒</t>
    </r>
  </si>
  <si>
    <r>
      <t>稼</t>
    </r>
    <r>
      <rPr>
        <sz val="11"/>
        <color theme="1"/>
        <rFont val="ＭＳ Ｐゴシック"/>
        <family val="3"/>
        <charset val="134"/>
        <scheme val="minor"/>
      </rPr>
      <t>墙</t>
    </r>
    <r>
      <rPr>
        <sz val="11"/>
        <color theme="1"/>
        <rFont val="ＭＳ Ｐゴシック"/>
        <family val="3"/>
        <charset val="128"/>
        <scheme val="minor"/>
      </rPr>
      <t>翁</t>
    </r>
  </si>
  <si>
    <r>
      <t>罗</t>
    </r>
    <r>
      <rPr>
        <sz val="11"/>
        <color theme="1"/>
        <rFont val="ＭＳ Ｐゴシック"/>
        <family val="3"/>
        <charset val="128"/>
        <scheme val="minor"/>
      </rPr>
      <t>永青</t>
    </r>
  </si>
  <si>
    <r>
      <t>葡萄酒; 蝮蛇酒;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烈酒; 高粱酒; 米酒; 白干酒（中国白酒）; 烈性干酒</t>
    </r>
  </si>
  <si>
    <t>多相因</t>
  </si>
  <si>
    <r>
      <t>中智民康影</t>
    </r>
    <r>
      <rPr>
        <sz val="11"/>
        <color theme="1"/>
        <rFont val="ＭＳ Ｐゴシック"/>
        <family val="3"/>
        <charset val="134"/>
        <scheme val="minor"/>
      </rPr>
      <t>视传</t>
    </r>
    <r>
      <rPr>
        <sz val="11"/>
        <color theme="1"/>
        <rFont val="ＭＳ Ｐゴシック"/>
        <family val="3"/>
        <charset val="128"/>
        <scheme val="minor"/>
      </rPr>
      <t>媒有限公司</t>
    </r>
  </si>
  <si>
    <r>
      <t>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蒸煮提取物（利口酒和烈酒）;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青稞酒</t>
    </r>
  </si>
  <si>
    <t>银缘</t>
  </si>
  <si>
    <r>
      <t>白</t>
    </r>
    <r>
      <rPr>
        <sz val="11"/>
        <color theme="1"/>
        <rFont val="ＭＳ Ｐゴシック"/>
        <family val="3"/>
        <charset val="134"/>
        <scheme val="minor"/>
      </rPr>
      <t>银</t>
    </r>
    <r>
      <rPr>
        <sz val="11"/>
        <color theme="1"/>
        <rFont val="ＭＳ Ｐゴシック"/>
        <family val="3"/>
        <charset val="128"/>
        <scheme val="minor"/>
      </rPr>
      <t>迎春酒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</si>
  <si>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威士忌; 高粱酒; 果酒;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葡萄酒; 黄酒</t>
    </r>
  </si>
  <si>
    <r>
      <t>王老</t>
    </r>
    <r>
      <rPr>
        <sz val="11"/>
        <color theme="1"/>
        <rFont val="ＭＳ Ｐゴシック"/>
        <family val="3"/>
        <charset val="134"/>
        <scheme val="minor"/>
      </rPr>
      <t>师</t>
    </r>
    <r>
      <rPr>
        <sz val="11"/>
        <color theme="1"/>
        <rFont val="ＭＳ Ｐゴシック"/>
        <family val="3"/>
        <charset val="128"/>
        <scheme val="minor"/>
      </rPr>
      <t>家</t>
    </r>
  </si>
  <si>
    <r>
      <t>杭州王老</t>
    </r>
    <r>
      <rPr>
        <sz val="11"/>
        <color theme="1"/>
        <rFont val="ＭＳ Ｐゴシック"/>
        <family val="3"/>
        <charset val="134"/>
        <scheme val="minor"/>
      </rPr>
      <t>师</t>
    </r>
    <r>
      <rPr>
        <sz val="11"/>
        <color theme="1"/>
        <rFont val="ＭＳ Ｐゴシック"/>
        <family val="3"/>
        <charset val="128"/>
        <scheme val="minor"/>
      </rPr>
      <t>家科技</t>
    </r>
    <r>
      <rPr>
        <sz val="11"/>
        <color theme="1"/>
        <rFont val="ＭＳ Ｐゴシック"/>
        <family val="3"/>
        <charset val="134"/>
        <scheme val="minor"/>
      </rPr>
      <t>产业发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</si>
  <si>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白酒; 黄酒;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含酒精的水果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</si>
  <si>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榆</t>
    </r>
    <r>
      <rPr>
        <sz val="11"/>
        <color theme="1"/>
        <rFont val="ＭＳ Ｐゴシック"/>
        <family val="3"/>
        <charset val="128"/>
        <scheme val="minor"/>
      </rPr>
      <t>怡堂</t>
    </r>
  </si>
  <si>
    <t>周天林</t>
  </si>
  <si>
    <r>
      <t>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酒; 食用酒精; 青稞酒; 烈酒; 佐餐酒; 梅酒; 高粱酒;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</si>
  <si>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千喜台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</si>
  <si>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市千喜台酒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</si>
  <si>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汽酒; 伏特加酒; 葡萄酒; 果酒（含酒精）;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</si>
  <si>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馃</t>
    </r>
    <r>
      <rPr>
        <sz val="11"/>
        <color theme="1"/>
        <rFont val="ＭＳ Ｐゴシック"/>
        <family val="3"/>
        <charset val="128"/>
        <scheme val="minor"/>
      </rPr>
      <t>杓台</t>
    </r>
  </si>
  <si>
    <r>
      <t>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青稞酒;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葡萄酒; 白干酒（中国白酒）;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的白酒;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</si>
  <si>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老达双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泉</t>
    </r>
  </si>
  <si>
    <r>
      <t>梨</t>
    </r>
    <r>
      <rPr>
        <sz val="11"/>
        <color theme="1"/>
        <rFont val="ＭＳ Ｐゴシック"/>
        <family val="3"/>
        <charset val="134"/>
        <scheme val="minor"/>
      </rPr>
      <t>树</t>
    </r>
    <r>
      <rPr>
        <sz val="11"/>
        <color theme="1"/>
        <rFont val="ＭＳ Ｐゴシック"/>
        <family val="3"/>
        <charset val="128"/>
        <scheme val="minor"/>
      </rPr>
      <t>区双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泉酒厂</t>
    </r>
  </si>
  <si>
    <r>
      <t>威士忌; 白酒; 伏特加酒;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葡萄酒;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</si>
  <si>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九溪口</t>
  </si>
  <si>
    <r>
      <t>成都阳生商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咨</t>
    </r>
    <r>
      <rPr>
        <sz val="11"/>
        <color theme="1"/>
        <rFont val="ＭＳ Ｐゴシック"/>
        <family val="3"/>
        <charset val="134"/>
        <scheme val="minor"/>
      </rPr>
      <t>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</si>
  <si>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杜松子酒; 露酒;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威士忌; 白酒; 米酒; 果酒（含酒精）;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清酒（日本米酒）</t>
    </r>
  </si>
  <si>
    <r>
      <t>吾</t>
    </r>
    <r>
      <rPr>
        <sz val="11"/>
        <color theme="1"/>
        <rFont val="ＭＳ Ｐゴシック"/>
        <family val="3"/>
        <charset val="134"/>
        <scheme val="minor"/>
      </rPr>
      <t>爱</t>
    </r>
    <r>
      <rPr>
        <sz val="11"/>
        <color theme="1"/>
        <rFont val="ＭＳ Ｐゴシック"/>
        <family val="3"/>
        <charset val="128"/>
        <scheme val="minor"/>
      </rPr>
      <t>吾佳</t>
    </r>
  </si>
  <si>
    <r>
      <t>湖南省吾</t>
    </r>
    <r>
      <rPr>
        <sz val="11"/>
        <color theme="1"/>
        <rFont val="ＭＳ Ｐゴシック"/>
        <family val="3"/>
        <charset val="134"/>
        <scheme val="minor"/>
      </rPr>
      <t>爱</t>
    </r>
    <r>
      <rPr>
        <sz val="11"/>
        <color theme="1"/>
        <rFont val="ＭＳ Ｐゴシック"/>
        <family val="3"/>
        <charset val="128"/>
        <scheme val="minor"/>
      </rPr>
      <t>吾佳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</si>
  <si>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柑香酒; 甜果酒; 薄荷酒;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草莓酒; 含酒精的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尾酒混合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品</t>
    </r>
  </si>
  <si>
    <r>
      <t>营</t>
    </r>
    <r>
      <rPr>
        <sz val="11"/>
        <color theme="1"/>
        <rFont val="ＭＳ Ｐゴシック"/>
        <family val="3"/>
        <charset val="128"/>
        <scheme val="minor"/>
      </rPr>
      <t>火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造 CAMPFIRE BREWING</t>
    </r>
  </si>
  <si>
    <r>
      <t>郑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34"/>
        <scheme val="minor"/>
      </rPr>
      <t>润</t>
    </r>
    <r>
      <rPr>
        <sz val="11"/>
        <color theme="1"/>
        <rFont val="ＭＳ Ｐゴシック"/>
        <family val="3"/>
        <charset val="128"/>
        <scheme val="minor"/>
      </rPr>
      <t>威供</t>
    </r>
    <r>
      <rPr>
        <sz val="11"/>
        <color theme="1"/>
        <rFont val="ＭＳ Ｐゴシック"/>
        <family val="3"/>
        <charset val="134"/>
        <scheme val="minor"/>
      </rPr>
      <t>应链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</si>
  <si>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黄酒; 青稞酒; 葡萄酒; 白酒; 汽酒; 食用酒精; 果酒（含酒精）;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</si>
  <si>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部落</t>
    </r>
    <r>
      <rPr>
        <sz val="11"/>
        <color theme="1"/>
        <rFont val="ＭＳ Ｐゴシック"/>
        <family val="3"/>
        <charset val="134"/>
        <scheme val="minor"/>
      </rPr>
      <t>图</t>
    </r>
    <r>
      <rPr>
        <sz val="11"/>
        <color theme="1"/>
        <rFont val="ＭＳ Ｐゴシック"/>
        <family val="3"/>
        <charset val="128"/>
        <scheme val="minor"/>
      </rPr>
      <t>章</t>
    </r>
  </si>
  <si>
    <r>
      <t>薛永</t>
    </r>
    <r>
      <rPr>
        <sz val="11"/>
        <color theme="1"/>
        <rFont val="ＭＳ Ｐゴシック"/>
        <family val="3"/>
        <charset val="134"/>
        <scheme val="minor"/>
      </rPr>
      <t>艳</t>
    </r>
  </si>
  <si>
    <r>
      <t xml:space="preserve">威士忌; 果酒（含酒精）; 伏特加酒;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清酒（日本米酒）; 白酒; 葡萄酒; 利口酒;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</si>
  <si>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赶芒</t>
  </si>
  <si>
    <t>李利</t>
  </si>
  <si>
    <r>
      <t xml:space="preserve">米酒; 高粱酒; 薄荷酒;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食用酒精</t>
    </r>
  </si>
  <si>
    <r>
      <t xml:space="preserve">POWERRABBIT </t>
    </r>
    <r>
      <rPr>
        <sz val="11"/>
        <color theme="1"/>
        <rFont val="ＭＳ Ｐゴシック"/>
        <family val="3"/>
        <charset val="134"/>
        <scheme val="minor"/>
      </rPr>
      <t>动</t>
    </r>
    <r>
      <rPr>
        <sz val="11"/>
        <color theme="1"/>
        <rFont val="ＭＳ Ｐゴシック"/>
        <family val="3"/>
        <charset val="128"/>
        <scheme val="minor"/>
      </rPr>
      <t>力兔子</t>
    </r>
  </si>
  <si>
    <r>
      <t xml:space="preserve">葡萄酒; 清酒（日本米酒）;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利口酒; 白酒; 威士忌; 果酒（含酒精）; 伏特加酒;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</si>
  <si>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湖北厚江商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</si>
  <si>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米酒;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>酒; 烈酒; 清酒;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白酒; 果酒; 葡萄酒</t>
    </r>
  </si>
  <si>
    <t>宋蔡府</t>
  </si>
  <si>
    <r>
      <t>邹</t>
    </r>
    <r>
      <rPr>
        <sz val="11"/>
        <color theme="1"/>
        <rFont val="ＭＳ Ｐゴシック"/>
        <family val="3"/>
        <charset val="128"/>
        <scheme val="minor"/>
      </rPr>
      <t>通如</t>
    </r>
    <r>
      <rPr>
        <sz val="11"/>
        <color theme="1"/>
        <rFont val="ＭＳ Ｐゴシック"/>
        <family val="3"/>
        <charset val="134"/>
        <scheme val="minor"/>
      </rPr>
      <t>龙</t>
    </r>
  </si>
  <si>
    <r>
      <t xml:space="preserve">薄荷酒;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食用酒精; 黄酒; 青稞酒;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汽酒; 白酒</t>
    </r>
  </si>
  <si>
    <r>
      <t>领鲜钥</t>
    </r>
    <r>
      <rPr>
        <sz val="11"/>
        <color theme="1"/>
        <rFont val="ＭＳ Ｐゴシック"/>
        <family val="3"/>
        <charset val="128"/>
        <scheme val="minor"/>
      </rPr>
      <t>匙</t>
    </r>
  </si>
  <si>
    <r>
      <t>领鲜钥</t>
    </r>
    <r>
      <rPr>
        <sz val="11"/>
        <color theme="1"/>
        <rFont val="ＭＳ Ｐゴシック"/>
        <family val="3"/>
        <charset val="128"/>
        <scheme val="minor"/>
      </rPr>
      <t>匙（浙江）科技有限公司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</si>
  <si>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米酒;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甘蔗制烈酒; 果酒（含酒精）</t>
    </r>
  </si>
  <si>
    <r>
      <t>三渡</t>
    </r>
    <r>
      <rPr>
        <sz val="11"/>
        <color theme="1"/>
        <rFont val="ＭＳ Ｐゴシック"/>
        <family val="3"/>
        <charset val="134"/>
        <scheme val="minor"/>
      </rPr>
      <t>龙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</si>
  <si>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市三渡酒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</si>
  <si>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食用酒精; 白酒; 白干酒（中国白酒）;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葡萄酒;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</si>
  <si>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ZKHE</t>
  </si>
  <si>
    <r>
      <t>重</t>
    </r>
    <r>
      <rPr>
        <sz val="11"/>
        <color theme="1"/>
        <rFont val="ＭＳ Ｐゴシック"/>
        <family val="3"/>
        <charset val="134"/>
        <scheme val="minor"/>
      </rPr>
      <t>庆</t>
    </r>
    <r>
      <rPr>
        <sz val="11"/>
        <color theme="1"/>
        <rFont val="ＭＳ Ｐゴシック"/>
        <family val="3"/>
        <charset val="128"/>
        <scheme val="minor"/>
      </rPr>
      <t>何氏品牌管理有限公司</t>
    </r>
  </si>
  <si>
    <r>
      <t>葡萄酒; 甜酒;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食用酒精; 白酒; 含酒精的充气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含酒精的水果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开胃酒;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</si>
  <si>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台</t>
    </r>
    <r>
      <rPr>
        <sz val="11"/>
        <color theme="1"/>
        <rFont val="ＭＳ Ｐゴシック"/>
        <family val="3"/>
        <charset val="134"/>
        <scheme val="minor"/>
      </rPr>
      <t>枂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</si>
  <si>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州云漂科技有限公司</t>
    </r>
  </si>
  <si>
    <r>
      <t>果酒（含酒精）; 葡萄酒; 米酒;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</si>
  <si>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洺</t>
    </r>
    <r>
      <rPr>
        <sz val="11"/>
        <color theme="1"/>
        <rFont val="ＭＳ Ｐゴシック"/>
        <family val="3"/>
        <charset val="128"/>
        <scheme val="minor"/>
      </rPr>
      <t>河都</t>
    </r>
  </si>
  <si>
    <r>
      <t>河南</t>
    </r>
    <r>
      <rPr>
        <sz val="11"/>
        <color theme="1"/>
        <rFont val="ＭＳ Ｐゴシック"/>
        <family val="3"/>
        <charset val="129"/>
        <scheme val="minor"/>
      </rPr>
      <t>洺</t>
    </r>
    <r>
      <rPr>
        <sz val="11"/>
        <color theme="1"/>
        <rFont val="ＭＳ Ｐゴシック"/>
        <family val="3"/>
        <charset val="128"/>
        <scheme val="minor"/>
      </rPr>
      <t>河酒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</si>
  <si>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高粱酒; 白酒; 清酒; 果酒; 食用酒精; 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黄酒</t>
    </r>
  </si>
  <si>
    <r>
      <t>绿</t>
    </r>
    <r>
      <rPr>
        <sz val="11"/>
        <color theme="1"/>
        <rFont val="ＭＳ Ｐゴシック"/>
        <family val="3"/>
        <charset val="128"/>
        <scheme val="minor"/>
      </rPr>
      <t>甘</t>
    </r>
    <r>
      <rPr>
        <sz val="11"/>
        <color theme="1"/>
        <rFont val="ＭＳ Ｐゴシック"/>
        <family val="3"/>
        <charset val="134"/>
        <scheme val="minor"/>
      </rPr>
      <t>汤</t>
    </r>
  </si>
  <si>
    <r>
      <t>内蒙古德日</t>
    </r>
    <r>
      <rPr>
        <sz val="11"/>
        <color theme="1"/>
        <rFont val="ＭＳ Ｐゴシック"/>
        <family val="3"/>
        <charset val="134"/>
        <scheme val="minor"/>
      </rPr>
      <t>苏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</si>
  <si>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t>露酒</t>
  </si>
  <si>
    <r>
      <t>楚无</t>
    </r>
    <r>
      <rPr>
        <sz val="11"/>
        <color theme="1"/>
        <rFont val="ＭＳ Ｐゴシック"/>
        <family val="3"/>
        <charset val="134"/>
        <scheme val="minor"/>
      </rPr>
      <t>忧</t>
    </r>
  </si>
  <si>
    <r>
      <t>魏</t>
    </r>
    <r>
      <rPr>
        <sz val="11"/>
        <color theme="1"/>
        <rFont val="ＭＳ Ｐゴシック"/>
        <family val="3"/>
        <charset val="134"/>
        <scheme val="minor"/>
      </rPr>
      <t>刚</t>
    </r>
  </si>
  <si>
    <r>
      <t>果酒; 葡萄酒; 米酒; 烈酒; 白干酒（中国白酒）;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高粱酒;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</si>
  <si>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六角黄金</t>
  </si>
  <si>
    <r>
      <t>亳州市徽窖酒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</si>
  <si>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高粱酒;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食用酒精;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露酒;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</t>
    </r>
  </si>
  <si>
    <t>短品</t>
  </si>
  <si>
    <r>
      <t>武</t>
    </r>
    <r>
      <rPr>
        <sz val="11"/>
        <color theme="1"/>
        <rFont val="ＭＳ Ｐゴシック"/>
        <family val="3"/>
        <charset val="134"/>
        <scheme val="minor"/>
      </rPr>
      <t>汉</t>
    </r>
    <r>
      <rPr>
        <sz val="11"/>
        <color theme="1"/>
        <rFont val="ＭＳ Ｐゴシック"/>
        <family val="3"/>
        <charset val="128"/>
        <scheme val="minor"/>
      </rPr>
      <t>行住科技有限公司</t>
    </r>
  </si>
  <si>
    <r>
      <t>朝</t>
    </r>
    <r>
      <rPr>
        <sz val="11"/>
        <color theme="1"/>
        <rFont val="ＭＳ Ｐゴシック"/>
        <family val="3"/>
        <charset val="134"/>
        <scheme val="minor"/>
      </rPr>
      <t>鲜</t>
    </r>
    <r>
      <rPr>
        <sz val="11"/>
        <color theme="1"/>
        <rFont val="ＭＳ Ｐゴシック"/>
        <family val="3"/>
        <charset val="128"/>
        <scheme val="minor"/>
      </rPr>
      <t>族米酒; 果酒（含酒精）; 米酒;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伏特加酒;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青稞酒</t>
    </r>
  </si>
  <si>
    <r>
      <t>美</t>
    </r>
    <r>
      <rPr>
        <sz val="11"/>
        <color theme="1"/>
        <rFont val="ＭＳ Ｐゴシック"/>
        <family val="3"/>
        <charset val="134"/>
        <scheme val="minor"/>
      </rPr>
      <t>絉</t>
    </r>
  </si>
  <si>
    <r>
      <t>成都美束文化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</si>
  <si>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清酒（日本米酒）; 葡萄酒; 白酒; 黄酒</t>
    </r>
  </si>
  <si>
    <r>
      <t>洺</t>
    </r>
    <r>
      <rPr>
        <sz val="11"/>
        <color theme="1"/>
        <rFont val="ＭＳ Ｐゴシック"/>
        <family val="3"/>
        <charset val="128"/>
        <scheme val="minor"/>
      </rPr>
      <t>河沙</t>
    </r>
  </si>
  <si>
    <r>
      <t xml:space="preserve">黄酒; 米酒; 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果酒; 高粱酒; 白酒; 清酒; 食用酒精;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</si>
  <si>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佬昌宜</t>
  </si>
  <si>
    <r>
      <t>宜昌柒加柒餐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</si>
  <si>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 xml:space="preserve">酒; 黄酒;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酒; 葡萄酒;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高粱酒; 烈酒</t>
    </r>
  </si>
  <si>
    <t>顶图</t>
  </si>
  <si>
    <t>吴毓宝</t>
  </si>
  <si>
    <r>
      <t>开胃酒;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食用酒精;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果酒（含酒精）</t>
    </r>
  </si>
  <si>
    <r>
      <t>黑植大</t>
    </r>
    <r>
      <rPr>
        <sz val="11"/>
        <color theme="1"/>
        <rFont val="ＭＳ Ｐゴシック"/>
        <family val="3"/>
        <charset val="134"/>
        <scheme val="minor"/>
      </rPr>
      <t>师</t>
    </r>
  </si>
  <si>
    <r>
      <t>四川亮眼医</t>
    </r>
    <r>
      <rPr>
        <sz val="11"/>
        <color theme="1"/>
        <rFont val="ＭＳ Ｐゴシック"/>
        <family val="3"/>
        <charset val="134"/>
        <scheme val="minor"/>
      </rPr>
      <t>药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</si>
  <si>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t>蒸煮提取物（利口酒和烈酒）; 威士忌; 米酒; 白酒; 露酒; 果酒（含酒精）; 蜂蜜酒; 黑醋栗酒; 黑覆盆子酒; 薄荷酒</t>
  </si>
  <si>
    <t>元祖明洞</t>
  </si>
  <si>
    <t>徐秀玲</t>
  </si>
  <si>
    <r>
      <t>开胃酒; 利口酒;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米酒; 果酒（含酒精）; 清酒（日本米酒）</t>
    </r>
  </si>
  <si>
    <r>
      <t>钦</t>
    </r>
    <r>
      <rPr>
        <sz val="11"/>
        <color theme="1"/>
        <rFont val="ＭＳ Ｐゴシック"/>
        <family val="3"/>
        <charset val="128"/>
        <scheme val="minor"/>
      </rPr>
      <t>林</t>
    </r>
  </si>
  <si>
    <r>
      <t>北海海</t>
    </r>
    <r>
      <rPr>
        <sz val="11"/>
        <color theme="1"/>
        <rFont val="ＭＳ Ｐゴシック"/>
        <family val="3"/>
        <charset val="134"/>
        <scheme val="minor"/>
      </rPr>
      <t>丝</t>
    </r>
    <r>
      <rPr>
        <sz val="11"/>
        <color theme="1"/>
        <rFont val="ＭＳ Ｐゴシック"/>
        <family val="3"/>
        <charset val="128"/>
        <scheme val="minor"/>
      </rPr>
      <t>香料有限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</si>
  <si>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高粱酒; 威士忌; 米酒; 开胃酒; 果酒;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葡萄酒; 黄酒</t>
    </r>
  </si>
  <si>
    <r>
      <t>洺</t>
    </r>
    <r>
      <rPr>
        <sz val="11"/>
        <color theme="1"/>
        <rFont val="ＭＳ Ｐゴシック"/>
        <family val="3"/>
        <charset val="128"/>
        <scheme val="minor"/>
      </rPr>
      <t>河</t>
    </r>
    <r>
      <rPr>
        <sz val="11"/>
        <color theme="1"/>
        <rFont val="ＭＳ Ｐゴシック"/>
        <family val="3"/>
        <charset val="134"/>
        <scheme val="minor"/>
      </rPr>
      <t>边</t>
    </r>
  </si>
  <si>
    <r>
      <t>食用酒精; 烈酒; 白酒; 清酒; 米酒;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高粱酒;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黄酒</t>
    </r>
  </si>
  <si>
    <r>
      <t>洺</t>
    </r>
    <r>
      <rPr>
        <sz val="11"/>
        <color theme="1"/>
        <rFont val="ＭＳ Ｐゴシック"/>
        <family val="3"/>
        <charset val="128"/>
        <scheme val="minor"/>
      </rPr>
      <t>河潭</t>
    </r>
  </si>
  <si>
    <r>
      <t>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米酒; 清酒; 食用酒精; 果酒;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烈酒; 高粱酒</t>
    </r>
  </si>
  <si>
    <r>
      <t>洺</t>
    </r>
    <r>
      <rPr>
        <sz val="11"/>
        <color theme="1"/>
        <rFont val="ＭＳ Ｐゴシック"/>
        <family val="3"/>
        <charset val="128"/>
        <scheme val="minor"/>
      </rPr>
      <t>河瓷</t>
    </r>
  </si>
  <si>
    <r>
      <t>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烈酒; 黄酒; 米酒; 白酒; 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食用酒精; 果酒; 高粱酒</t>
    </r>
  </si>
  <si>
    <t>富蕃</t>
  </si>
  <si>
    <t>任全根</t>
  </si>
  <si>
    <r>
      <t>黄酒; 白酒; 白干酒（中国白酒）; 高粱酒; 果酒（含酒精）;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葡萄酒</t>
    </r>
  </si>
  <si>
    <t>塔路</t>
  </si>
  <si>
    <r>
      <t>喀什美誉君邦酒</t>
    </r>
    <r>
      <rPr>
        <sz val="11"/>
        <color theme="1"/>
        <rFont val="ＭＳ Ｐゴシック"/>
        <family val="3"/>
        <charset val="134"/>
        <scheme val="minor"/>
      </rPr>
      <t>类销</t>
    </r>
    <r>
      <rPr>
        <sz val="11"/>
        <color theme="1"/>
        <rFont val="ＭＳ Ｐゴシック"/>
        <family val="3"/>
        <charset val="128"/>
        <scheme val="minor"/>
      </rPr>
      <t>售中心</t>
    </r>
  </si>
  <si>
    <r>
      <t xml:space="preserve">高粱酒;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酒（烈酒）; 食用酒精; 白酒; 青稞酒;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露酒; 伏特加酒;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米酒</t>
    </r>
  </si>
  <si>
    <r>
      <t>郑晓</t>
    </r>
    <r>
      <rPr>
        <sz val="11"/>
        <color theme="1"/>
        <rFont val="ＭＳ Ｐゴシック"/>
        <family val="3"/>
        <charset val="128"/>
        <scheme val="minor"/>
      </rPr>
      <t>娣</t>
    </r>
  </si>
  <si>
    <r>
      <t>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清酒（日本米酒）; 果酒; 朗姆酒; 烈酒;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米酒</t>
    </r>
  </si>
  <si>
    <r>
      <t>山友</t>
    </r>
    <r>
      <rPr>
        <sz val="11"/>
        <color theme="1"/>
        <rFont val="ＭＳ Ｐゴシック"/>
        <family val="3"/>
        <charset val="134"/>
        <scheme val="minor"/>
      </rPr>
      <t>顺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</si>
  <si>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裕</t>
    </r>
    <r>
      <rPr>
        <sz val="11"/>
        <color theme="1"/>
        <rFont val="ＭＳ Ｐゴシック"/>
        <family val="3"/>
        <charset val="134"/>
        <scheme val="minor"/>
      </rPr>
      <t>见</t>
    </r>
    <r>
      <rPr>
        <sz val="11"/>
        <color theme="1"/>
        <rFont val="ＭＳ Ｐゴシック"/>
        <family val="3"/>
        <charset val="128"/>
        <scheme val="minor"/>
      </rPr>
      <t>（泰</t>
    </r>
    <r>
      <rPr>
        <sz val="11"/>
        <color theme="1"/>
        <rFont val="ＭＳ Ｐゴシック"/>
        <family val="3"/>
        <charset val="134"/>
        <scheme val="minor"/>
      </rPr>
      <t>顺</t>
    </r>
    <r>
      <rPr>
        <sz val="11"/>
        <color theme="1"/>
        <rFont val="ＭＳ Ｐゴシック"/>
        <family val="3"/>
        <charset val="128"/>
        <scheme val="minor"/>
      </rPr>
      <t>）</t>
    </r>
    <r>
      <rPr>
        <sz val="11"/>
        <color theme="1"/>
        <rFont val="ＭＳ Ｐゴシック"/>
        <family val="3"/>
        <charset val="134"/>
        <scheme val="minor"/>
      </rPr>
      <t>电</t>
    </r>
    <r>
      <rPr>
        <sz val="11"/>
        <color theme="1"/>
        <rFont val="ＭＳ Ｐゴシック"/>
        <family val="3"/>
        <charset val="128"/>
        <scheme val="minor"/>
      </rPr>
      <t>商科技有限公司</t>
    </r>
  </si>
  <si>
    <t>果酒（含酒精）; 白酒</t>
  </si>
  <si>
    <t>一伙的瑞</t>
  </si>
  <si>
    <r>
      <t>中益</t>
    </r>
    <r>
      <rPr>
        <sz val="11"/>
        <color theme="1"/>
        <rFont val="ＭＳ Ｐゴシック"/>
        <family val="3"/>
        <charset val="134"/>
        <scheme val="minor"/>
      </rPr>
      <t>润创</t>
    </r>
    <r>
      <rPr>
        <sz val="11"/>
        <color theme="1"/>
        <rFont val="ＭＳ Ｐゴシック"/>
        <family val="3"/>
        <charset val="128"/>
        <scheme val="minor"/>
      </rPr>
      <t>（青</t>
    </r>
    <r>
      <rPr>
        <sz val="11"/>
        <color theme="1"/>
        <rFont val="ＭＳ Ｐゴシック"/>
        <family val="3"/>
        <charset val="134"/>
        <scheme val="minor"/>
      </rPr>
      <t>岛</t>
    </r>
    <r>
      <rPr>
        <sz val="11"/>
        <color theme="1"/>
        <rFont val="ＭＳ Ｐゴシック"/>
        <family val="3"/>
        <charset val="128"/>
        <scheme val="minor"/>
      </rPr>
      <t>）啤酒有限公司</t>
    </r>
  </si>
  <si>
    <r>
      <t>白酒; 白干酒（中国白酒）;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高粱酒; 烈酒; 葡萄酒; 汽酒;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果酒; 梅酒</t>
    </r>
  </si>
  <si>
    <r>
      <t>中梁</t>
    </r>
    <r>
      <rPr>
        <sz val="11"/>
        <color theme="1"/>
        <rFont val="ＭＳ Ｐゴシック"/>
        <family val="3"/>
        <charset val="134"/>
        <scheme val="minor"/>
      </rPr>
      <t>陈</t>
    </r>
  </si>
  <si>
    <t>温州市中梁化工有限公司</t>
  </si>
  <si>
    <r>
      <t xml:space="preserve">食用酒精; 开胃酒;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果酒; 蜂蜜酒;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料(啤酒除外); 黄酒; 白酒</t>
    </r>
  </si>
  <si>
    <r>
      <t>洺</t>
    </r>
    <r>
      <rPr>
        <sz val="11"/>
        <color theme="1"/>
        <rFont val="ＭＳ Ｐゴシック"/>
        <family val="3"/>
        <charset val="128"/>
        <scheme val="minor"/>
      </rPr>
      <t>河井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</si>
  <si>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米酒; 果酒;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清酒; 食用酒精; 高粱酒; 烈酒; 白酒; 黄酒</t>
    </r>
  </si>
  <si>
    <r>
      <t>洺</t>
    </r>
    <r>
      <rPr>
        <sz val="11"/>
        <color theme="1"/>
        <rFont val="ＭＳ Ｐゴシック"/>
        <family val="3"/>
        <charset val="128"/>
        <scheme val="minor"/>
      </rPr>
      <t>河沿</t>
    </r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</si>
  <si>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米酒; 清酒; 果酒; 烈酒;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高粱酒; 食用酒精</t>
    </r>
  </si>
  <si>
    <t>黑植</t>
  </si>
  <si>
    <t>蜂蜜酒; 黑醋栗酒; 蒸煮提取物（利口酒和烈酒）; 薄荷酒; 白酒; 米酒; 果酒（含酒精）; 黑覆盆子酒; 露酒; 威士忌</t>
  </si>
  <si>
    <r>
      <t>荣姐家酒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祥</t>
    </r>
    <r>
      <rPr>
        <sz val="11"/>
        <color theme="1"/>
        <rFont val="ＭＳ Ｐゴシック"/>
        <family val="3"/>
        <charset val="134"/>
        <scheme val="minor"/>
      </rPr>
      <t>凤</t>
    </r>
  </si>
  <si>
    <r>
      <t>安徽荣姐家酒酒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</si>
  <si>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食用酒精;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米酒</t>
    </r>
  </si>
  <si>
    <r>
      <t>洺</t>
    </r>
    <r>
      <rPr>
        <sz val="11"/>
        <color theme="1"/>
        <rFont val="ＭＳ Ｐゴシック"/>
        <family val="3"/>
        <charset val="128"/>
        <scheme val="minor"/>
      </rPr>
      <t>河鹿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</si>
  <si>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米酒;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烈酒; 清酒; 葡萄酒; 高粱酒; 黄酒; 食用酒精; 白酒</t>
    </r>
  </si>
  <si>
    <r>
      <t>翰</t>
    </r>
    <r>
      <rPr>
        <sz val="11"/>
        <color theme="1"/>
        <rFont val="ＭＳ Ｐゴシック"/>
        <family val="3"/>
        <charset val="134"/>
        <scheme val="minor"/>
      </rPr>
      <t>骏</t>
    </r>
  </si>
  <si>
    <t>蒋超群</t>
  </si>
  <si>
    <r>
      <t xml:space="preserve">果酒（含酒精）; 米酒;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白酒; 汽酒</t>
    </r>
  </si>
  <si>
    <r>
      <t>洺</t>
    </r>
    <r>
      <rPr>
        <sz val="11"/>
        <color theme="1"/>
        <rFont val="ＭＳ Ｐゴシック"/>
        <family val="3"/>
        <charset val="128"/>
        <scheme val="minor"/>
      </rPr>
      <t>河泥</t>
    </r>
  </si>
  <si>
    <r>
      <t xml:space="preserve">清酒;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果酒; 烈酒; 白酒;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食用酒精; 高粱酒</t>
    </r>
  </si>
  <si>
    <t>锦绣鸳鸯</t>
  </si>
  <si>
    <r>
      <t>西安众</t>
    </r>
    <r>
      <rPr>
        <sz val="11"/>
        <color theme="1"/>
        <rFont val="ＭＳ Ｐゴシック"/>
        <family val="3"/>
        <charset val="134"/>
        <scheme val="minor"/>
      </rPr>
      <t>爱</t>
    </r>
    <r>
      <rPr>
        <sz val="11"/>
        <color theme="1"/>
        <rFont val="ＭＳ Ｐゴシック"/>
        <family val="3"/>
        <charset val="128"/>
        <scheme val="minor"/>
      </rPr>
      <t>眼健康</t>
    </r>
    <r>
      <rPr>
        <sz val="11"/>
        <color theme="1"/>
        <rFont val="ＭＳ Ｐゴシック"/>
        <family val="3"/>
        <charset val="134"/>
        <scheme val="minor"/>
      </rPr>
      <t>产</t>
    </r>
    <r>
      <rPr>
        <sz val="11"/>
        <color theme="1"/>
        <rFont val="ＭＳ Ｐゴシック"/>
        <family val="3"/>
        <charset val="128"/>
        <scheme val="minor"/>
      </rPr>
      <t>品有限公司</t>
    </r>
  </si>
  <si>
    <r>
      <t>威士忌;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米酒; 白酒;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果酒（含酒精）; 黄酒; 葡萄酒</t>
    </r>
  </si>
  <si>
    <r>
      <t>辉县</t>
    </r>
    <r>
      <rPr>
        <sz val="11"/>
        <color theme="1"/>
        <rFont val="ＭＳ Ｐゴシック"/>
        <family val="3"/>
        <charset val="128"/>
        <scheme val="minor"/>
      </rPr>
      <t>市南熙融媒文化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展中心有限公司</t>
    </r>
  </si>
  <si>
    <r>
      <t>白酒; 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蜂蜜酒; 甜酒; 苦味酒;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利口酒;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</t>
    </r>
  </si>
  <si>
    <t>云客令</t>
  </si>
  <si>
    <r>
      <t>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米酒; 伏特加酒;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</si>
  <si>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善</t>
    </r>
    <r>
      <rPr>
        <sz val="11"/>
        <color theme="1"/>
        <rFont val="ＭＳ Ｐゴシック"/>
        <family val="3"/>
        <charset val="134"/>
        <scheme val="minor"/>
      </rPr>
      <t>济鹊</t>
    </r>
    <r>
      <rPr>
        <sz val="11"/>
        <color theme="1"/>
        <rFont val="ＭＳ Ｐゴシック"/>
        <family val="3"/>
        <charset val="128"/>
        <scheme val="minor"/>
      </rPr>
      <t>圣堂</t>
    </r>
  </si>
  <si>
    <r>
      <t>李</t>
    </r>
    <r>
      <rPr>
        <sz val="11"/>
        <color theme="1"/>
        <rFont val="ＭＳ Ｐゴシック"/>
        <family val="3"/>
        <charset val="134"/>
        <scheme val="minor"/>
      </rPr>
      <t>锋</t>
    </r>
    <r>
      <rPr>
        <sz val="11"/>
        <color theme="1"/>
        <rFont val="ＭＳ Ｐゴシック"/>
        <family val="3"/>
        <charset val="128"/>
        <scheme val="minor"/>
      </rPr>
      <t>印</t>
    </r>
  </si>
  <si>
    <r>
      <t xml:space="preserve">葡萄酒; 白酒; 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高粱酒;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开胃酒;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果酒</t>
    </r>
  </si>
  <si>
    <t>馨熙</t>
  </si>
  <si>
    <t>李小云</t>
  </si>
  <si>
    <r>
      <t xml:space="preserve">开胃酒; 黄酒; 食用酒精; 高粱酒;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烈酒; 米酒; 露酒; 白酒</t>
    </r>
  </si>
  <si>
    <t>丰运德</t>
  </si>
  <si>
    <r>
      <t>郭</t>
    </r>
    <r>
      <rPr>
        <sz val="11"/>
        <color theme="1"/>
        <rFont val="ＭＳ Ｐゴシック"/>
        <family val="3"/>
        <charset val="134"/>
        <scheme val="minor"/>
      </rPr>
      <t>丽丽</t>
    </r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</si>
  <si>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蒸煮提取物（利口酒和烈酒）;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葡萄酒; 米酒; 青稞酒; 高粱酒</t>
    </r>
  </si>
  <si>
    <r>
      <t>观</t>
    </r>
    <r>
      <rPr>
        <sz val="11"/>
        <color theme="1"/>
        <rFont val="ＭＳ Ｐゴシック"/>
        <family val="3"/>
        <charset val="128"/>
        <scheme val="minor"/>
      </rPr>
      <t>无上</t>
    </r>
  </si>
  <si>
    <r>
      <t>山西融媒体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媒集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</si>
  <si>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高粱酒;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白干酒（中国白酒）; 白酒; 蒸煮提取物（利口酒和烈酒）</t>
    </r>
  </si>
  <si>
    <t>芁医生</t>
  </si>
  <si>
    <r>
      <t>湖南御挺兄弟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媒有限公司</t>
    </r>
  </si>
  <si>
    <r>
      <t xml:space="preserve">蜂蜜酒;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伏特加酒; 白酒; 威士忌; 开胃酒; 高粱酒;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</t>
    </r>
  </si>
  <si>
    <t>京宏晟</t>
  </si>
  <si>
    <t>赵红艳</t>
  </si>
  <si>
    <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果酒; 高粱酒;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米酒</t>
    </r>
  </si>
  <si>
    <t>GOOD NIGHT CAT</t>
  </si>
  <si>
    <r>
      <t>烟台烟才网</t>
    </r>
    <r>
      <rPr>
        <sz val="11"/>
        <color theme="1"/>
        <rFont val="ＭＳ Ｐゴシック"/>
        <family val="3"/>
        <charset val="134"/>
        <scheme val="minor"/>
      </rPr>
      <t>络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</si>
  <si>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朗姆酒; 桃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白葡萄酒; 果酒;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葡萄酒; 甜酒; 威士忌</t>
    </r>
  </si>
  <si>
    <r>
      <t>玺</t>
    </r>
    <r>
      <rPr>
        <sz val="11"/>
        <color theme="1"/>
        <rFont val="ＭＳ Ｐゴシック"/>
        <family val="3"/>
        <charset val="128"/>
        <scheme val="minor"/>
      </rPr>
      <t>映台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</si>
  <si>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市印尊包装有限公司</t>
    </r>
  </si>
  <si>
    <r>
      <t>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露酒; 白酒; 米酒; 烈酒; 高粱酒; 果酒; 葡萄酒; 食用酒精</t>
    </r>
  </si>
  <si>
    <r>
      <t>象</t>
    </r>
    <r>
      <rPr>
        <sz val="11"/>
        <color theme="1"/>
        <rFont val="ＭＳ Ｐゴシック"/>
        <family val="3"/>
        <charset val="134"/>
        <scheme val="minor"/>
      </rPr>
      <t>滚</t>
    </r>
    <r>
      <rPr>
        <sz val="11"/>
        <color theme="1"/>
        <rFont val="ＭＳ Ｐゴシック"/>
        <family val="3"/>
        <charset val="128"/>
        <scheme val="minor"/>
      </rPr>
      <t>塘</t>
    </r>
  </si>
  <si>
    <t>李雪琪</t>
  </si>
  <si>
    <r>
      <t>米酒;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白酒; 果酒; 黄酒; 甘蔗制烈酒; 柑香酒; 苦味酒; 伏特加酒;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</si>
  <si>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薛道</t>
  </si>
  <si>
    <r>
      <t>临</t>
    </r>
    <r>
      <rPr>
        <sz val="11"/>
        <color theme="1"/>
        <rFont val="ＭＳ Ｐゴシック"/>
        <family val="3"/>
        <charset val="128"/>
        <scheme val="minor"/>
      </rPr>
      <t>漳中鑫</t>
    </r>
    <r>
      <rPr>
        <sz val="11"/>
        <color theme="1"/>
        <rFont val="ＭＳ Ｐゴシック"/>
        <family val="3"/>
        <charset val="134"/>
        <scheme val="minor"/>
      </rPr>
      <t>电</t>
    </r>
    <r>
      <rPr>
        <sz val="11"/>
        <color theme="1"/>
        <rFont val="ＭＳ Ｐゴシック"/>
        <family val="3"/>
        <charset val="128"/>
        <scheme val="minor"/>
      </rPr>
      <t>子商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</si>
  <si>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梨酒; 开胃酒; 餐后酒（利口酒和烈酒）; 食用酒精;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葡萄酒; 白酒</t>
    </r>
  </si>
  <si>
    <r>
      <t>幸福</t>
    </r>
    <r>
      <rPr>
        <sz val="11"/>
        <color theme="1"/>
        <rFont val="ＭＳ Ｐゴシック"/>
        <family val="3"/>
        <charset val="134"/>
        <scheme val="minor"/>
      </rPr>
      <t>欢</t>
    </r>
  </si>
  <si>
    <r>
      <t>林</t>
    </r>
    <r>
      <rPr>
        <sz val="11"/>
        <color theme="1"/>
        <rFont val="ＭＳ Ｐゴシック"/>
        <family val="3"/>
        <charset val="134"/>
        <scheme val="minor"/>
      </rPr>
      <t>坚</t>
    </r>
  </si>
  <si>
    <r>
      <t>葡萄酒;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威士忌; 白酒;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米酒（泡盛酒）; 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</si>
  <si>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汉</t>
    </r>
    <r>
      <rPr>
        <sz val="11"/>
        <color theme="1"/>
        <rFont val="ＭＳ Ｐゴシック"/>
        <family val="3"/>
        <charset val="128"/>
        <scheme val="minor"/>
      </rPr>
      <t>太医</t>
    </r>
  </si>
  <si>
    <r>
      <t>陈贝贝</t>
    </r>
    <r>
      <rPr>
        <sz val="11"/>
        <color theme="1"/>
        <rFont val="ＭＳ Ｐゴシック"/>
        <family val="3"/>
        <charset val="128"/>
        <scheme val="minor"/>
      </rPr>
      <t>******************</t>
    </r>
  </si>
  <si>
    <r>
      <t>白酒;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清酒;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威士忌;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</si>
  <si>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t>稻福娃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</si>
  <si>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34"/>
        <scheme val="minor"/>
      </rPr>
      <t>战酱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(集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)有限公司</t>
    </r>
  </si>
  <si>
    <r>
      <t xml:space="preserve">青稞酒; 食用酒精; 白干酒（中国白酒）;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白酒</t>
    </r>
  </si>
  <si>
    <t>商炉</t>
  </si>
  <si>
    <r>
      <t>上海喜形悦色包装</t>
    </r>
    <r>
      <rPr>
        <sz val="11"/>
        <color theme="1"/>
        <rFont val="ＭＳ Ｐゴシック"/>
        <family val="3"/>
        <charset val="134"/>
        <scheme val="minor"/>
      </rPr>
      <t>设计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</si>
  <si>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高粱酒; 威士忌; 白酒; 葡萄酒; 米酒; 烈酒;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薄荷酒</t>
    </r>
  </si>
  <si>
    <r>
      <t>御赦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坊</t>
    </r>
  </si>
  <si>
    <t>路文静</t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</si>
  <si>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开胃酒; 葡萄酒; 含酒精的气泡水;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蜂蜜酒; 威士忌; 白酒</t>
    </r>
  </si>
  <si>
    <r>
      <t>衢</t>
    </r>
    <r>
      <rPr>
        <sz val="11"/>
        <color theme="1"/>
        <rFont val="ＭＳ Ｐゴシック"/>
        <family val="3"/>
        <charset val="134"/>
        <scheme val="minor"/>
      </rPr>
      <t>见欢</t>
    </r>
  </si>
  <si>
    <t>侯俊才</t>
  </si>
  <si>
    <r>
      <t>蒸煮提取物（利口酒和烈酒）; 白酒;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威士忌;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</si>
  <si>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漳州市</t>
    </r>
    <r>
      <rPr>
        <sz val="11"/>
        <color theme="1"/>
        <rFont val="ＭＳ Ｐゴシック"/>
        <family val="3"/>
        <charset val="134"/>
        <scheme val="minor"/>
      </rPr>
      <t>齐</t>
    </r>
    <r>
      <rPr>
        <sz val="11"/>
        <color theme="1"/>
        <rFont val="ＭＳ Ｐゴシック"/>
        <family val="3"/>
        <charset val="128"/>
        <scheme val="minor"/>
      </rPr>
      <t>弘堂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</si>
  <si>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米酒;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黄酒</t>
    </r>
  </si>
  <si>
    <r>
      <t>怀</t>
    </r>
    <r>
      <rPr>
        <sz val="11"/>
        <color theme="1"/>
        <rFont val="ＭＳ Ｐゴシック"/>
        <family val="3"/>
        <charset val="128"/>
        <scheme val="minor"/>
      </rPr>
      <t>谷</t>
    </r>
    <r>
      <rPr>
        <sz val="11"/>
        <color theme="1"/>
        <rFont val="ＭＳ Ｐゴシック"/>
        <family val="3"/>
        <charset val="134"/>
        <scheme val="minor"/>
      </rPr>
      <t>润</t>
    </r>
    <r>
      <rPr>
        <sz val="11"/>
        <color theme="1"/>
        <rFont val="ＭＳ Ｐゴシック"/>
        <family val="3"/>
        <charset val="128"/>
        <scheme val="minor"/>
      </rPr>
      <t>禾</t>
    </r>
  </si>
  <si>
    <r>
      <t>保定京泉酒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</si>
  <si>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开胃酒; 葡萄酒;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青稞酒;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蜂蜜酒; 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</si>
  <si>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嫡祖</t>
  </si>
  <si>
    <r>
      <t>赵娅</t>
    </r>
    <r>
      <rPr>
        <sz val="11"/>
        <color theme="1"/>
        <rFont val="ＭＳ Ｐゴシック"/>
        <family val="3"/>
        <charset val="128"/>
        <scheme val="minor"/>
      </rPr>
      <t>雯</t>
    </r>
  </si>
  <si>
    <r>
      <t>葡萄酒; 含酒精的气泡水;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威士忌; 蜂蜜酒; 开胃酒;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</t>
    </r>
  </si>
  <si>
    <t>福粮宝</t>
  </si>
  <si>
    <r>
      <t>青稞酒;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白酒; 黄酒; 白干酒（中国白酒）;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</si>
  <si>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秘</t>
    </r>
    <r>
      <rPr>
        <sz val="11"/>
        <color theme="1"/>
        <rFont val="ＭＳ Ｐゴシック"/>
        <family val="3"/>
        <charset val="134"/>
        <scheme val="minor"/>
      </rPr>
      <t>库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</si>
  <si>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威士忌; 含酒精的气泡水;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开胃酒;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蜂蜜酒</t>
    </r>
  </si>
  <si>
    <r>
      <t>赖</t>
    </r>
    <r>
      <rPr>
        <sz val="11"/>
        <color theme="1"/>
        <rFont val="ＭＳ Ｐゴシック"/>
        <family val="3"/>
        <charset val="128"/>
        <scheme val="minor"/>
      </rPr>
      <t>元正老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</si>
  <si>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34"/>
        <scheme val="minor"/>
      </rPr>
      <t>赖</t>
    </r>
    <r>
      <rPr>
        <sz val="11"/>
        <color theme="1"/>
        <rFont val="ＭＳ Ｐゴシック"/>
        <family val="3"/>
        <charset val="128"/>
        <scheme val="minor"/>
      </rPr>
      <t>元正酒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</si>
  <si>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食用酒精; 露酒; 果酒;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高粱酒; 开胃酒;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烈酒</t>
    </r>
  </si>
  <si>
    <t>毅辰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</si>
  <si>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白酒; 青稞酒;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蜂蜜酒; 开胃酒</t>
    </r>
  </si>
  <si>
    <t>JUNHEYUAN</t>
  </si>
  <si>
    <r>
      <t>北京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船万达科技有限公司</t>
    </r>
  </si>
  <si>
    <r>
      <t>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白干酒（中国白酒）; 清酒; 米酒; 露酒;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白酒</t>
    </r>
  </si>
  <si>
    <r>
      <t>遵</t>
    </r>
    <r>
      <rPr>
        <sz val="11"/>
        <color theme="1"/>
        <rFont val="ＭＳ Ｐゴシック"/>
        <family val="3"/>
        <charset val="134"/>
        <scheme val="minor"/>
      </rPr>
      <t>库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</si>
  <si>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蜂蜜酒; 含酒精的气泡水;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开胃酒;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威士忌; 白酒</t>
    </r>
  </si>
  <si>
    <t>黔窖囍</t>
  </si>
  <si>
    <r>
      <t>盖</t>
    </r>
    <r>
      <rPr>
        <sz val="11"/>
        <color theme="1"/>
        <rFont val="ＭＳ Ｐゴシック"/>
        <family val="3"/>
        <charset val="134"/>
        <scheme val="minor"/>
      </rPr>
      <t>亚时</t>
    </r>
    <r>
      <rPr>
        <sz val="11"/>
        <color theme="1"/>
        <rFont val="ＭＳ Ｐゴシック"/>
        <family val="3"/>
        <charset val="128"/>
        <scheme val="minor"/>
      </rPr>
      <t>代有限公司</t>
    </r>
  </si>
  <si>
    <r>
      <t xml:space="preserve">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高粱酒;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青稞酒;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烈酒; 白酒; 果酒（含酒精）</t>
    </r>
  </si>
  <si>
    <t>RLSD</t>
  </si>
  <si>
    <r>
      <t>昌黎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中田酒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</si>
  <si>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米酒; 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清酒; 利口酒; 葡萄酒;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汽酒; 白酒</t>
    </r>
  </si>
  <si>
    <t>增娜</t>
  </si>
  <si>
    <t>杜国新</t>
  </si>
  <si>
    <r>
      <t>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青稞酒;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苦味酒;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白酒</t>
    </r>
  </si>
  <si>
    <r>
      <t>云上茶旅甄</t>
    </r>
    <r>
      <rPr>
        <sz val="11"/>
        <color theme="1"/>
        <rFont val="ＭＳ Ｐゴシック"/>
        <family val="3"/>
        <charset val="134"/>
        <scheme val="minor"/>
      </rPr>
      <t>选</t>
    </r>
  </si>
  <si>
    <r>
      <t>武夷山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茶仕文化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媒有限公司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</si>
  <si>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白酒;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黄酒; 米酒; 果酒（含酒精）; 葡萄酒; 汽酒</t>
    </r>
  </si>
  <si>
    <t>福禄乾隆</t>
  </si>
  <si>
    <t>段雪辰</t>
  </si>
  <si>
    <r>
      <t xml:space="preserve">青稞酒; 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>酒; 葡萄酒; 白酒; 露酒; 黄酒; 高粱酒</t>
    </r>
  </si>
  <si>
    <t>散花妃添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</si>
  <si>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州知台酒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</si>
  <si>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佐餐酒; 米酒; 利口酒; 薄荷酒;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果酒;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葡萄酒; 高粱酒; 黄酒</t>
    </r>
  </si>
  <si>
    <r>
      <t>汉</t>
    </r>
    <r>
      <rPr>
        <sz val="11"/>
        <color theme="1"/>
        <rFont val="ＭＳ Ｐゴシック"/>
        <family val="3"/>
        <charset val="128"/>
        <scheme val="minor"/>
      </rPr>
      <t>瓴</t>
    </r>
  </si>
  <si>
    <r>
      <t>陈进</t>
    </r>
    <r>
      <rPr>
        <sz val="11"/>
        <color theme="1"/>
        <rFont val="ＭＳ Ｐゴシック"/>
        <family val="3"/>
        <charset val="128"/>
        <scheme val="minor"/>
      </rPr>
      <t>朝</t>
    </r>
  </si>
  <si>
    <r>
      <t xml:space="preserve">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白干酒（中国白酒）; 黄酒; 高粱酒; 米酒; 果酒; 白酒; 烈酒</t>
    </r>
  </si>
  <si>
    <t>梦之李唐</t>
  </si>
  <si>
    <r>
      <t>宿迁市洋河</t>
    </r>
    <r>
      <rPr>
        <sz val="11"/>
        <color theme="1"/>
        <rFont val="ＭＳ Ｐゴシック"/>
        <family val="3"/>
        <charset val="134"/>
        <scheme val="minor"/>
      </rPr>
      <t>镇</t>
    </r>
    <r>
      <rPr>
        <sz val="11"/>
        <color theme="1"/>
        <rFont val="ＭＳ Ｐゴシック"/>
        <family val="3"/>
        <charset val="128"/>
        <scheme val="minor"/>
      </rPr>
      <t>嘉</t>
    </r>
    <r>
      <rPr>
        <sz val="11"/>
        <color theme="1"/>
        <rFont val="ＭＳ Ｐゴシック"/>
        <family val="3"/>
        <charset val="134"/>
        <scheme val="minor"/>
      </rPr>
      <t>宾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</si>
  <si>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黄酒; 烈酒;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果酒（含酒精）; 露酒; 清酒（日本米酒）</t>
    </r>
  </si>
  <si>
    <r>
      <t>青御</t>
    </r>
    <r>
      <rPr>
        <sz val="11"/>
        <color theme="1"/>
        <rFont val="ＭＳ Ｐゴシック"/>
        <family val="3"/>
        <charset val="134"/>
        <scheme val="minor"/>
      </rPr>
      <t>门</t>
    </r>
  </si>
  <si>
    <r>
      <t>杨</t>
    </r>
    <r>
      <rPr>
        <sz val="11"/>
        <color theme="1"/>
        <rFont val="ＭＳ Ｐゴシック"/>
        <family val="3"/>
        <charset val="128"/>
        <scheme val="minor"/>
      </rPr>
      <t>玉</t>
    </r>
    <r>
      <rPr>
        <sz val="11"/>
        <color theme="1"/>
        <rFont val="ＭＳ Ｐゴシック"/>
        <family val="3"/>
        <charset val="134"/>
        <scheme val="minor"/>
      </rPr>
      <t>凤</t>
    </r>
  </si>
  <si>
    <r>
      <t xml:space="preserve">米酒;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清酒（日本米酒）;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果酒（含酒精）; 葡萄酒; 开胃酒</t>
    </r>
  </si>
  <si>
    <r>
      <t>四川佰</t>
    </r>
    <r>
      <rPr>
        <sz val="11"/>
        <color theme="1"/>
        <rFont val="ＭＳ Ｐゴシック"/>
        <family val="3"/>
        <charset val="134"/>
        <scheme val="minor"/>
      </rPr>
      <t>诗</t>
    </r>
    <r>
      <rPr>
        <sz val="11"/>
        <color theme="1"/>
        <rFont val="ＭＳ Ｐゴシック"/>
        <family val="3"/>
        <charset val="128"/>
        <scheme val="minor"/>
      </rPr>
      <t>酒酒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</si>
  <si>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烈酒; 果酒（含酒精）; 甜酒;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葡萄酒; 甜果酒;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</t>
    </r>
  </si>
  <si>
    <t>前坊井</t>
  </si>
  <si>
    <r>
      <t>鹰</t>
    </r>
    <r>
      <rPr>
        <sz val="11"/>
        <color theme="1"/>
        <rFont val="ＭＳ Ｐゴシック"/>
        <family val="3"/>
        <charset val="128"/>
        <scheme val="minor"/>
      </rPr>
      <t>潭石</t>
    </r>
    <r>
      <rPr>
        <sz val="11"/>
        <color theme="1"/>
        <rFont val="ＭＳ Ｐゴシック"/>
        <family val="3"/>
        <charset val="134"/>
        <scheme val="minor"/>
      </rPr>
      <t>头谱</t>
    </r>
    <r>
      <rPr>
        <sz val="11"/>
        <color theme="1"/>
        <rFont val="ＭＳ Ｐゴシック"/>
        <family val="3"/>
        <charset val="128"/>
        <scheme val="minor"/>
      </rPr>
      <t>文化推广有限公司</t>
    </r>
  </si>
  <si>
    <r>
      <t xml:space="preserve">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白酒;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朗姆酒; 葡萄酒; 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</si>
  <si>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承甜</t>
  </si>
  <si>
    <r>
      <t>漳州市承</t>
    </r>
    <r>
      <rPr>
        <sz val="11"/>
        <color theme="1"/>
        <rFont val="ＭＳ Ｐゴシック"/>
        <family val="3"/>
        <charset val="134"/>
        <scheme val="minor"/>
      </rPr>
      <t>亿</t>
    </r>
    <r>
      <rPr>
        <sz val="11"/>
        <color theme="1"/>
        <rFont val="ＭＳ Ｐゴシック"/>
        <family val="3"/>
        <charset val="128"/>
        <scheme val="minor"/>
      </rPr>
      <t>果品有限公司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</si>
  <si>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高粱酒;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混合威士忌酒;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果酒（含酒精）; 白酒; 梅酒; 柑香酒</t>
    </r>
  </si>
  <si>
    <r>
      <t>金匠成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 xml:space="preserve"> 瑞</t>
    </r>
    <r>
      <rPr>
        <sz val="11"/>
        <color theme="1"/>
        <rFont val="ＭＳ Ｐゴシック"/>
        <family val="3"/>
        <charset val="134"/>
        <scheme val="minor"/>
      </rPr>
      <t>龙腾飞</t>
    </r>
  </si>
  <si>
    <r>
      <t>山</t>
    </r>
    <r>
      <rPr>
        <sz val="11"/>
        <color theme="1"/>
        <rFont val="ＭＳ Ｐゴシック"/>
        <family val="3"/>
        <charset val="134"/>
        <scheme val="minor"/>
      </rPr>
      <t>东汉</t>
    </r>
    <r>
      <rPr>
        <sz val="11"/>
        <color theme="1"/>
        <rFont val="ＭＳ Ｐゴシック"/>
        <family val="3"/>
        <charset val="128"/>
        <scheme val="minor"/>
      </rPr>
      <t>将成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</si>
  <si>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食用酒精; 果酒（含酒精）; 葡萄酒; 清酒（日本米酒）; 伏特加酒;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</t>
    </r>
  </si>
  <si>
    <t>运威辰</t>
  </si>
  <si>
    <r>
      <t>深圳市瑞</t>
    </r>
    <r>
      <rPr>
        <sz val="11"/>
        <color theme="1"/>
        <rFont val="ＭＳ Ｐゴシック"/>
        <family val="3"/>
        <charset val="134"/>
        <scheme val="minor"/>
      </rPr>
      <t>鸣门业</t>
    </r>
    <r>
      <rPr>
        <sz val="11"/>
        <color theme="1"/>
        <rFont val="ＭＳ Ｐゴシック"/>
        <family val="3"/>
        <charset val="128"/>
        <scheme val="minor"/>
      </rPr>
      <t>工程有限公司</t>
    </r>
  </si>
  <si>
    <r>
      <t xml:space="preserve">开胃酒; 茴芹酒（利口酒）; 薄荷酒;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餐后酒（利口酒和烈酒）; 果酒（含酒精）; 柑香酒; 苦味酒; 茴香酒（利口酒）; 葡萄酒</t>
    </r>
  </si>
  <si>
    <t>匠鼎九五至尊</t>
  </si>
  <si>
    <t>刘勇</t>
  </si>
  <si>
    <r>
      <t>白酒;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果酒（含酒精）; 清酒;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</t>
    </r>
  </si>
  <si>
    <t>中粤中荼醇</t>
  </si>
  <si>
    <r>
      <t>杨</t>
    </r>
    <r>
      <rPr>
        <sz val="11"/>
        <color theme="1"/>
        <rFont val="ＭＳ Ｐゴシック"/>
        <family val="3"/>
        <charset val="128"/>
        <scheme val="minor"/>
      </rPr>
      <t>文添</t>
    </r>
  </si>
  <si>
    <r>
      <t xml:space="preserve">高粱酒; 葡萄酒;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蜂蜜酒; 利口酒; 白酒; 果酒</t>
    </r>
  </si>
  <si>
    <t>肇隆</t>
  </si>
  <si>
    <r>
      <t>安徽肇隆康养文化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</si>
  <si>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果酒;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草莓酒; 米酒; 高粱酒;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青梅酒</t>
    </r>
  </si>
  <si>
    <t>原有粮</t>
  </si>
  <si>
    <r>
      <t>喻</t>
    </r>
    <r>
      <rPr>
        <sz val="11"/>
        <color theme="1"/>
        <rFont val="ＭＳ Ｐゴシック"/>
        <family val="3"/>
        <charset val="128"/>
        <scheme val="minor"/>
      </rPr>
      <t>学平</t>
    </r>
  </si>
  <si>
    <r>
      <t xml:space="preserve">苹果酒; 白酒; 青稞酒; 果酒（含酒精）; 葡萄酒;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开胃酒; 米酒; 食用酒精</t>
    </r>
  </si>
  <si>
    <t>CLIN CLIN</t>
  </si>
  <si>
    <r>
      <t>浙江芭莎</t>
    </r>
    <r>
      <rPr>
        <sz val="11"/>
        <color theme="1"/>
        <rFont val="ＭＳ Ｐゴシック"/>
        <family val="3"/>
        <charset val="134"/>
        <scheme val="minor"/>
      </rPr>
      <t>时</t>
    </r>
    <r>
      <rPr>
        <sz val="11"/>
        <color theme="1"/>
        <rFont val="ＭＳ Ｐゴシック"/>
        <family val="3"/>
        <charset val="128"/>
        <scheme val="minor"/>
      </rPr>
      <t>装有限公司</t>
    </r>
  </si>
  <si>
    <r>
      <t>果酒（含酒精）; 伏特加酒;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蜂蜜酒; 威士忌;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薄荷酒; 苹果酒; 白酒</t>
    </r>
  </si>
  <si>
    <t>野陌山黛</t>
  </si>
  <si>
    <r>
      <t>上海嘻燕网</t>
    </r>
    <r>
      <rPr>
        <sz val="11"/>
        <color theme="1"/>
        <rFont val="ＭＳ Ｐゴシック"/>
        <family val="3"/>
        <charset val="134"/>
        <scheme val="minor"/>
      </rPr>
      <t>络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</si>
  <si>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朗姆酒; 白酒; 威士忌; 伏特加酒; 葡萄酒; 米酒; 汽酒; 黄酒; 清酒</t>
    </r>
  </si>
  <si>
    <t>朱希望</t>
  </si>
  <si>
    <r>
      <t>杭州九</t>
    </r>
    <r>
      <rPr>
        <sz val="11"/>
        <color theme="1"/>
        <rFont val="ＭＳ Ｐゴシック"/>
        <family val="3"/>
        <charset val="134"/>
        <scheme val="minor"/>
      </rPr>
      <t>泷</t>
    </r>
    <r>
      <rPr>
        <sz val="11"/>
        <color theme="1"/>
        <rFont val="ＭＳ Ｐゴシック"/>
        <family val="3"/>
        <charset val="128"/>
        <scheme val="minor"/>
      </rPr>
      <t>潭</t>
    </r>
    <r>
      <rPr>
        <sz val="11"/>
        <color theme="1"/>
        <rFont val="ＭＳ Ｐゴシック"/>
        <family val="3"/>
        <charset val="134"/>
        <scheme val="minor"/>
      </rPr>
      <t>实业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</si>
  <si>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白酒; 食用酒精; 果酒（含酒精）; 清酒;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</si>
  <si>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惠商名仕</t>
  </si>
  <si>
    <r>
      <t>广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莞邑名仕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</si>
  <si>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 xml:space="preserve">白酒; 葡萄酒; 清酒; 青稞酒;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烈酒; 甜酒; 高粱酒; 黄酒</t>
    </r>
  </si>
  <si>
    <t>灌盅聚</t>
  </si>
  <si>
    <t>周自朝</t>
  </si>
  <si>
    <r>
      <t>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草莓酒;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米酒; 白酒; 高粱酒; 果酒; 黄酒</t>
    </r>
  </si>
  <si>
    <r>
      <t>坛</t>
    </r>
    <r>
      <rPr>
        <sz val="11"/>
        <color theme="1"/>
        <rFont val="ＭＳ Ｐゴシック"/>
        <family val="3"/>
        <charset val="128"/>
        <scheme val="minor"/>
      </rPr>
      <t>一地</t>
    </r>
  </si>
  <si>
    <t>刘加波</t>
  </si>
  <si>
    <r>
      <t xml:space="preserve">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威士忌; 白酒; 葡萄酒; 米酒; 露酒</t>
    </r>
  </si>
  <si>
    <t>寂静的春天 SILENT SPRING</t>
  </si>
  <si>
    <r>
      <t>韩</t>
    </r>
    <r>
      <rPr>
        <sz val="11"/>
        <color theme="1"/>
        <rFont val="ＭＳ Ｐゴシック"/>
        <family val="3"/>
        <charset val="128"/>
        <scheme val="minor"/>
      </rPr>
      <t>永生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</si>
  <si>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米酒; 黄酒; 威士忌; 清酒（日本米酒）;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开胃酒; 白酒; 果酒（含酒精）</t>
    </r>
  </si>
  <si>
    <t>曈府人家</t>
  </si>
  <si>
    <t>刘熊</t>
  </si>
  <si>
    <r>
      <t xml:space="preserve">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烈酒; 白干酒（中国白酒）;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果酒</t>
    </r>
  </si>
  <si>
    <t>音之魂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</si>
  <si>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州友昌酒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（集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）有限公司</t>
    </r>
  </si>
  <si>
    <r>
      <t>果酒（含酒精）; 清酒（日本米酒）;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薄荷酒;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</t>
    </r>
  </si>
  <si>
    <t>南洋99平安</t>
  </si>
  <si>
    <r>
      <t>武</t>
    </r>
    <r>
      <rPr>
        <sz val="11"/>
        <color theme="1"/>
        <rFont val="ＭＳ Ｐゴシック"/>
        <family val="3"/>
        <charset val="134"/>
        <scheme val="minor"/>
      </rPr>
      <t>汉</t>
    </r>
    <r>
      <rPr>
        <sz val="11"/>
        <color theme="1"/>
        <rFont val="ＭＳ Ｐゴシック"/>
        <family val="3"/>
        <charset val="128"/>
        <scheme val="minor"/>
      </rPr>
      <t>南洋大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中心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</si>
  <si>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食用酒精; 清酒; 米酒;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果酒（含酒精）; 开胃酒; 白酒</t>
    </r>
  </si>
  <si>
    <t>膳氿古熏</t>
  </si>
  <si>
    <t>安徽国膳健康管理有限公司</t>
  </si>
  <si>
    <r>
      <t>白干酒（中国白酒）;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的白酒; 清酒; 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</si>
  <si>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筑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阳</t>
    </r>
  </si>
  <si>
    <r>
      <t>叶中</t>
    </r>
    <r>
      <rPr>
        <sz val="11"/>
        <color theme="1"/>
        <rFont val="ＭＳ Ｐゴシック"/>
        <family val="3"/>
        <charset val="134"/>
        <scheme val="minor"/>
      </rPr>
      <t>专</t>
    </r>
  </si>
  <si>
    <r>
      <t xml:space="preserve">白酒; 青稞酒; 米酒;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葡萄酒; 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</si>
  <si>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东</t>
    </r>
    <r>
      <rPr>
        <sz val="11"/>
        <color theme="1"/>
        <rFont val="ＭＳ Ｐゴシック"/>
        <family val="3"/>
        <charset val="128"/>
        <scheme val="minor"/>
      </rPr>
      <t>方首皇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</si>
  <si>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青稞酒; 果酒（含酒精）; 开胃酒; 米酒</t>
    </r>
  </si>
  <si>
    <t>臻天梁</t>
  </si>
  <si>
    <t>周瑞敏</t>
  </si>
  <si>
    <r>
      <t xml:space="preserve">食用酒精; 白酒; 果酒; 露酒;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米酒; 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开胃酒</t>
    </r>
  </si>
  <si>
    <t>甄安心</t>
  </si>
  <si>
    <r>
      <t>河北雄安雄睿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餐物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</si>
  <si>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白酒; 葡萄酒; 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露酒; 甜酒; 米酒; 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</si>
  <si>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集城名</t>
  </si>
  <si>
    <t>曾杰</t>
  </si>
  <si>
    <r>
      <t>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烈酒; 露酒; 葡萄酒; 白酒; 餐后酒（利口酒和烈酒）; 果酒（含酒精）; 苹果酒;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</si>
  <si>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t>冰之冰</t>
  </si>
  <si>
    <t>殷小兵</t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</si>
  <si>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</si>
  <si>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哈倩</t>
  </si>
  <si>
    <r>
      <t>中山市</t>
    </r>
    <r>
      <rPr>
        <sz val="11"/>
        <color theme="1"/>
        <rFont val="ＭＳ Ｐゴシック"/>
        <family val="3"/>
        <charset val="134"/>
        <scheme val="minor"/>
      </rPr>
      <t>钱</t>
    </r>
    <r>
      <rPr>
        <sz val="11"/>
        <color theme="1"/>
        <rFont val="ＭＳ Ｐゴシック"/>
        <family val="3"/>
        <charset val="128"/>
        <scheme val="minor"/>
      </rPr>
      <t>丰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</si>
  <si>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食用酒精; 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葡萄酒; 黄酒</t>
    </r>
  </si>
  <si>
    <r>
      <t>帝尊台</t>
    </r>
    <r>
      <rPr>
        <sz val="11"/>
        <color theme="1"/>
        <rFont val="ＭＳ Ｐゴシック"/>
        <family val="3"/>
        <charset val="134"/>
        <scheme val="minor"/>
      </rPr>
      <t>贡</t>
    </r>
  </si>
  <si>
    <r>
      <t>遵</t>
    </r>
    <r>
      <rPr>
        <sz val="11"/>
        <color theme="1"/>
        <rFont val="ＭＳ Ｐゴシック"/>
        <family val="3"/>
        <charset val="134"/>
        <scheme val="minor"/>
      </rPr>
      <t>义义</t>
    </r>
    <r>
      <rPr>
        <sz val="11"/>
        <color theme="1"/>
        <rFont val="ＭＳ Ｐゴシック"/>
        <family val="3"/>
        <charset val="128"/>
        <scheme val="minor"/>
      </rPr>
      <t>美亨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</si>
  <si>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果酒（含酒精）; 米酒; 食用酒精;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</t>
    </r>
  </si>
  <si>
    <t>杲玖仁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</si>
  <si>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食用酒精; 黄酒; 葡萄酒; 白酒; 果酒（含酒精）; 米酒; 青稞酒</t>
    </r>
  </si>
  <si>
    <r>
      <t>赛</t>
    </r>
    <r>
      <rPr>
        <sz val="11"/>
        <color theme="1"/>
        <rFont val="ＭＳ Ｐゴシック"/>
        <family val="3"/>
        <charset val="128"/>
        <scheme val="minor"/>
      </rPr>
      <t>里木王</t>
    </r>
  </si>
  <si>
    <r>
      <t>无</t>
    </r>
    <r>
      <rPr>
        <sz val="11"/>
        <color theme="1"/>
        <rFont val="ＭＳ Ｐゴシック"/>
        <family val="3"/>
        <charset val="134"/>
        <scheme val="minor"/>
      </rPr>
      <t>锡</t>
    </r>
    <r>
      <rPr>
        <sz val="11"/>
        <color theme="1"/>
        <rFont val="ＭＳ Ｐゴシック"/>
        <family val="3"/>
        <charset val="128"/>
        <scheme val="minor"/>
      </rPr>
      <t>君品酒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</si>
  <si>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利口酒;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伏特加酒; 白酒; 米酒; 葡萄酒; 开胃酒; 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</si>
  <si>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鐛</t>
  </si>
  <si>
    <r>
      <t>杭州君悦</t>
    </r>
    <r>
      <rPr>
        <sz val="11"/>
        <color theme="1"/>
        <rFont val="ＭＳ Ｐゴシック"/>
        <family val="3"/>
        <charset val="134"/>
        <scheme val="minor"/>
      </rPr>
      <t>蓝</t>
    </r>
    <r>
      <rPr>
        <sz val="11"/>
        <color theme="1"/>
        <rFont val="ＭＳ Ｐゴシック"/>
        <family val="3"/>
        <charset val="128"/>
        <scheme val="minor"/>
      </rPr>
      <t>庭餐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</si>
  <si>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 xml:space="preserve">果酒（含酒精）; 清酒（日本米酒）; 威士忌; 伏特加酒; 黄酒; 苹果酒;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</t>
    </r>
  </si>
  <si>
    <r>
      <t>安徽管子企</t>
    </r>
    <r>
      <rPr>
        <sz val="11"/>
        <color theme="1"/>
        <rFont val="ＭＳ Ｐゴシック"/>
        <family val="3"/>
        <charset val="134"/>
        <scheme val="minor"/>
      </rPr>
      <t>业发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</si>
  <si>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白干酒（中国白酒）; 起泡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果酒; 甜果酒;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高粱酒; 青稞酒;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</t>
    </r>
  </si>
  <si>
    <t>中黔北窖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</si>
  <si>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州中黔北窑酒</t>
    </r>
    <r>
      <rPr>
        <sz val="11"/>
        <color theme="1"/>
        <rFont val="ＭＳ Ｐゴシック"/>
        <family val="3"/>
        <charset val="134"/>
        <scheme val="minor"/>
      </rPr>
      <t>业贸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</si>
  <si>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黄酒; 露酒; 食用酒精; 高粱酒; 果酒; 烈酒; 开胃酒</t>
    </r>
  </si>
  <si>
    <r>
      <t>朵</t>
    </r>
    <r>
      <rPr>
        <sz val="11"/>
        <color theme="1"/>
        <rFont val="ＭＳ Ｐゴシック"/>
        <family val="3"/>
        <charset val="128"/>
        <scheme val="minor"/>
      </rPr>
      <t>晟</t>
    </r>
  </si>
  <si>
    <r>
      <t>合江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天晟</t>
    </r>
    <r>
      <rPr>
        <sz val="11"/>
        <color theme="1"/>
        <rFont val="ＭＳ Ｐゴシック"/>
        <family val="3"/>
        <charset val="134"/>
        <scheme val="minor"/>
      </rPr>
      <t>电</t>
    </r>
    <r>
      <rPr>
        <sz val="11"/>
        <color theme="1"/>
        <rFont val="ＭＳ Ｐゴシック"/>
        <family val="3"/>
        <charset val="128"/>
        <scheme val="minor"/>
      </rPr>
      <t>子商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</si>
  <si>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开胃酒; 米酒;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汽酒; 果酒（含酒精）</t>
    </r>
  </si>
  <si>
    <t>坤淳</t>
  </si>
  <si>
    <t>蒙蒙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</si>
  <si>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清酒（日本米酒）;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果酒（含酒精）;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</t>
    </r>
  </si>
  <si>
    <t>科力恒</t>
  </si>
  <si>
    <r>
      <t>北京中</t>
    </r>
    <r>
      <rPr>
        <sz val="11"/>
        <color theme="1"/>
        <rFont val="ＭＳ Ｐゴシック"/>
        <family val="3"/>
        <charset val="134"/>
        <scheme val="minor"/>
      </rPr>
      <t>电华劳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</si>
  <si>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 xml:space="preserve">葡萄酒; 薄荷酒; 白酒; 果酒（含酒精）;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汽酒; 苹果酒</t>
    </r>
  </si>
  <si>
    <r>
      <t>罗</t>
    </r>
    <r>
      <rPr>
        <sz val="11"/>
        <color theme="1"/>
        <rFont val="ＭＳ Ｐゴシック"/>
        <family val="3"/>
        <charset val="128"/>
        <scheme val="minor"/>
      </rPr>
      <t>浮葛小仙</t>
    </r>
  </si>
  <si>
    <r>
      <t>广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葛仙堂健康股份有限公司</t>
    </r>
  </si>
  <si>
    <r>
      <t>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蜂蜜酒;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米酒; 黄酒; 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</si>
  <si>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御房</t>
    </r>
    <r>
      <rPr>
        <sz val="11"/>
        <color theme="1"/>
        <rFont val="ＭＳ Ｐゴシック"/>
        <family val="3"/>
        <charset val="134"/>
        <scheme val="minor"/>
      </rPr>
      <t>铭</t>
    </r>
    <r>
      <rPr>
        <sz val="11"/>
        <color theme="1"/>
        <rFont val="ＭＳ Ｐゴシック"/>
        <family val="3"/>
        <charset val="128"/>
        <scheme val="minor"/>
      </rPr>
      <t>家</t>
    </r>
  </si>
  <si>
    <r>
      <t>洛阳科</t>
    </r>
    <r>
      <rPr>
        <sz val="11"/>
        <color theme="1"/>
        <rFont val="ＭＳ Ｐゴシック"/>
        <family val="3"/>
        <charset val="134"/>
        <scheme val="minor"/>
      </rPr>
      <t>泽</t>
    </r>
    <r>
      <rPr>
        <sz val="11"/>
        <color theme="1"/>
        <rFont val="ＭＳ Ｐゴシック"/>
        <family val="3"/>
        <charset val="128"/>
        <scheme val="minor"/>
      </rPr>
      <t>健康管理服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</si>
  <si>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高粱酒;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>酒; 白酒; 黄酒; 果酒;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</si>
  <si>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搏程老将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</si>
  <si>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州搏程酒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</si>
  <si>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米酒; 混合威士忌酒;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伏特加酒; 果酒（含酒精）</t>
    </r>
  </si>
  <si>
    <r>
      <t>仙</t>
    </r>
    <r>
      <rPr>
        <sz val="11"/>
        <color theme="1"/>
        <rFont val="ＭＳ Ｐゴシック"/>
        <family val="3"/>
        <charset val="134"/>
        <scheme val="minor"/>
      </rPr>
      <t>缘</t>
    </r>
    <r>
      <rPr>
        <sz val="11"/>
        <color theme="1"/>
        <rFont val="ＭＳ Ｐゴシック"/>
        <family val="3"/>
        <charset val="128"/>
        <scheme val="minor"/>
      </rPr>
      <t>福</t>
    </r>
  </si>
  <si>
    <r>
      <t>江</t>
    </r>
    <r>
      <rPr>
        <sz val="11"/>
        <color theme="1"/>
        <rFont val="ＭＳ Ｐゴシック"/>
        <family val="3"/>
        <charset val="134"/>
        <scheme val="minor"/>
      </rPr>
      <t>苏</t>
    </r>
    <r>
      <rPr>
        <sz val="11"/>
        <color theme="1"/>
        <rFont val="ＭＳ Ｐゴシック"/>
        <family val="3"/>
        <charset val="128"/>
        <scheme val="minor"/>
      </rPr>
      <t>禾</t>
    </r>
    <r>
      <rPr>
        <sz val="11"/>
        <color theme="1"/>
        <rFont val="ＭＳ Ｐゴシック"/>
        <family val="3"/>
        <charset val="134"/>
        <scheme val="minor"/>
      </rPr>
      <t>玺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</si>
  <si>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开胃酒; 清酒; 白酒;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利口酒;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</t>
    </r>
  </si>
  <si>
    <t>热萨传书</t>
  </si>
  <si>
    <r>
      <t>陈</t>
    </r>
    <r>
      <rPr>
        <sz val="11"/>
        <color theme="1"/>
        <rFont val="ＭＳ Ｐゴシック"/>
        <family val="3"/>
        <charset val="128"/>
        <scheme val="minor"/>
      </rPr>
      <t>永</t>
    </r>
    <r>
      <rPr>
        <sz val="11"/>
        <color theme="1"/>
        <rFont val="ＭＳ Ｐゴシック"/>
        <family val="3"/>
        <charset val="134"/>
        <scheme val="minor"/>
      </rPr>
      <t>华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</si>
  <si>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威士忌; 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开胃酒; 白酒; 果酒; 葡萄酒; 清酒（日本米酒）</t>
    </r>
  </si>
  <si>
    <t>观乐观</t>
  </si>
  <si>
    <r>
      <t>沈阳浩歌文化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媒有限公司</t>
    </r>
  </si>
  <si>
    <r>
      <t>葡萄酒;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高粱酒; 白干酒（中国白酒）;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果酒; 白葡萄酒</t>
    </r>
  </si>
  <si>
    <t>品位盛唐</t>
  </si>
  <si>
    <r>
      <t>浙江品位</t>
    </r>
    <r>
      <rPr>
        <sz val="11"/>
        <color theme="1"/>
        <rFont val="ＭＳ Ｐゴシック"/>
        <family val="3"/>
        <charset val="134"/>
        <scheme val="minor"/>
      </rPr>
      <t>门业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</si>
  <si>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米酒;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黄酒;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</si>
  <si>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张</t>
    </r>
    <r>
      <rPr>
        <sz val="11"/>
        <color theme="1"/>
        <rFont val="ＭＳ Ｐゴシック"/>
        <family val="3"/>
        <charset val="128"/>
        <scheme val="minor"/>
      </rPr>
      <t>振山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</si>
  <si>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</t>
    </r>
  </si>
  <si>
    <t>地潭</t>
  </si>
  <si>
    <r>
      <t>钱华</t>
    </r>
    <r>
      <rPr>
        <sz val="11"/>
        <color theme="1"/>
        <rFont val="ＭＳ Ｐゴシック"/>
        <family val="3"/>
        <charset val="128"/>
        <scheme val="minor"/>
      </rPr>
      <t>宝</t>
    </r>
  </si>
  <si>
    <r>
      <t>葡萄酒; 白酒; 米酒; 青稞酒; 黄酒; 果酒（含酒精）;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伏特加酒;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</si>
  <si>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花开禧</t>
    </r>
    <r>
      <rPr>
        <sz val="11"/>
        <color theme="1"/>
        <rFont val="ＭＳ Ｐゴシック"/>
        <family val="3"/>
        <charset val="134"/>
        <scheme val="minor"/>
      </rPr>
      <t>鹊</t>
    </r>
  </si>
  <si>
    <r>
      <t>李</t>
    </r>
    <r>
      <rPr>
        <sz val="11"/>
        <color theme="1"/>
        <rFont val="ＭＳ Ｐゴシック"/>
        <family val="3"/>
        <charset val="134"/>
        <scheme val="minor"/>
      </rPr>
      <t>丽凤</t>
    </r>
  </si>
  <si>
    <r>
      <t>米酒; 果酒（含酒精）;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白酒; 威士忌;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</si>
  <si>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江</t>
    </r>
    <r>
      <rPr>
        <sz val="11"/>
        <color theme="1"/>
        <rFont val="ＭＳ Ｐゴシック"/>
        <family val="3"/>
        <charset val="134"/>
        <scheme val="minor"/>
      </rPr>
      <t>苏</t>
    </r>
    <r>
      <rPr>
        <sz val="11"/>
        <color theme="1"/>
        <rFont val="ＭＳ Ｐゴシック"/>
        <family val="3"/>
        <charset val="128"/>
        <scheme val="minor"/>
      </rPr>
      <t>上达体育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媒有限公司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</si>
  <si>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葡萄酒; 清酒; 清酒（日本米酒）; 黄酒; 白酒;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白葡萄酒; 桃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白干酒（中国白酒）</t>
    </r>
  </si>
  <si>
    <t>苗之初</t>
  </si>
  <si>
    <r>
      <t>金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市民民</t>
    </r>
    <r>
      <rPr>
        <sz val="11"/>
        <color theme="1"/>
        <rFont val="ＭＳ Ｐゴシック"/>
        <family val="3"/>
        <charset val="134"/>
        <scheme val="minor"/>
      </rPr>
      <t>农业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</si>
  <si>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黄酒; 果酒; 白酒;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葡萄酒; 蜂蜜酒; 米酒; 甜酒;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</si>
  <si>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龙</t>
    </r>
    <r>
      <rPr>
        <sz val="11"/>
        <color theme="1"/>
        <rFont val="ＭＳ Ｐゴシック"/>
        <family val="3"/>
        <charset val="128"/>
        <scheme val="minor"/>
      </rPr>
      <t>鼎</t>
    </r>
    <r>
      <rPr>
        <sz val="11"/>
        <color theme="1"/>
        <rFont val="ＭＳ Ｐゴシック"/>
        <family val="3"/>
        <charset val="134"/>
        <scheme val="minor"/>
      </rPr>
      <t>兴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</si>
  <si>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州匠明酒</t>
    </r>
    <r>
      <rPr>
        <sz val="11"/>
        <color theme="1"/>
        <rFont val="ＭＳ Ｐゴシック"/>
        <family val="3"/>
        <charset val="134"/>
        <scheme val="minor"/>
      </rPr>
      <t>业销</t>
    </r>
    <r>
      <rPr>
        <sz val="11"/>
        <color theme="1"/>
        <rFont val="ＭＳ Ｐゴシック"/>
        <family val="3"/>
        <charset val="128"/>
        <scheme val="minor"/>
      </rPr>
      <t>售有限公司</t>
    </r>
  </si>
  <si>
    <r>
      <t>果酒（含酒精）; 梨酒; 露酒; 青稞酒; 葡萄酒;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白酒; 清酒（日本米酒）; 黄酒</t>
    </r>
  </si>
  <si>
    <r>
      <t>蓝</t>
    </r>
    <r>
      <rPr>
        <sz val="11"/>
        <color theme="1"/>
        <rFont val="ＭＳ Ｐゴシック"/>
        <family val="3"/>
        <charset val="128"/>
        <scheme val="minor"/>
      </rPr>
      <t>梦湾</t>
    </r>
  </si>
  <si>
    <r>
      <t>李</t>
    </r>
    <r>
      <rPr>
        <sz val="11"/>
        <color theme="1"/>
        <rFont val="ＭＳ Ｐゴシック"/>
        <family val="3"/>
        <charset val="134"/>
        <scheme val="minor"/>
      </rPr>
      <t>伟</t>
    </r>
    <r>
      <rPr>
        <sz val="11"/>
        <color theme="1"/>
        <rFont val="ＭＳ Ｐゴシック"/>
        <family val="3"/>
        <charset val="128"/>
        <scheme val="minor"/>
      </rPr>
      <t>玲</t>
    </r>
  </si>
  <si>
    <r>
      <t>开胃酒; 白酒; 威士忌; 米酒; 露酒;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甜酒; 果酒</t>
    </r>
  </si>
  <si>
    <t>百草道</t>
  </si>
  <si>
    <r>
      <t>彭</t>
    </r>
    <r>
      <rPr>
        <sz val="11"/>
        <color theme="1"/>
        <rFont val="ＭＳ Ｐゴシック"/>
        <family val="3"/>
        <charset val="134"/>
        <scheme val="minor"/>
      </rPr>
      <t>鸣</t>
    </r>
    <r>
      <rPr>
        <sz val="11"/>
        <color theme="1"/>
        <rFont val="ＭＳ Ｐゴシック"/>
        <family val="3"/>
        <charset val="128"/>
        <scheme val="minor"/>
      </rPr>
      <t>昊</t>
    </r>
  </si>
  <si>
    <r>
      <t xml:space="preserve">白酒; 黄酒; 果酒（含酒精）; 清酒;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蜂蜜酒</t>
    </r>
  </si>
  <si>
    <t>掼艺汇</t>
  </si>
  <si>
    <r>
      <t>江</t>
    </r>
    <r>
      <rPr>
        <sz val="11"/>
        <color theme="1"/>
        <rFont val="ＭＳ Ｐゴシック"/>
        <family val="3"/>
        <charset val="134"/>
        <scheme val="minor"/>
      </rPr>
      <t>苏</t>
    </r>
    <r>
      <rPr>
        <sz val="11"/>
        <color theme="1"/>
        <rFont val="ＭＳ Ｐゴシック"/>
        <family val="3"/>
        <charset val="128"/>
        <scheme val="minor"/>
      </rPr>
      <t>花好月</t>
    </r>
    <r>
      <rPr>
        <sz val="11"/>
        <color theme="1"/>
        <rFont val="ＭＳ Ｐゴシック"/>
        <family val="3"/>
        <charset val="134"/>
        <scheme val="minor"/>
      </rPr>
      <t>圆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</si>
  <si>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果酒;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开胃酒; 威士忌; 清酒（日本米酒）; 白酒</t>
    </r>
  </si>
  <si>
    <t>十拿</t>
  </si>
  <si>
    <r>
      <t>上海有趣酒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</si>
  <si>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烈性干酒;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高粱酒;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黄酒; 白干酒（中国白酒）; 葡萄酒;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</si>
  <si>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笨生活</t>
  </si>
  <si>
    <r>
      <t>聊城</t>
    </r>
    <r>
      <rPr>
        <sz val="11"/>
        <color theme="1"/>
        <rFont val="ＭＳ Ｐゴシック"/>
        <family val="3"/>
        <charset val="134"/>
        <scheme val="minor"/>
      </rPr>
      <t>创</t>
    </r>
    <r>
      <rPr>
        <sz val="11"/>
        <color theme="1"/>
        <rFont val="ＭＳ Ｐゴシック"/>
        <family val="3"/>
        <charset val="128"/>
        <scheme val="minor"/>
      </rPr>
      <t>弘商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</si>
  <si>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黄酒;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果酒（含酒精）; 葡萄酒; 青梅酒;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白酒;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</si>
  <si>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冝晨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</si>
  <si>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州辰雨酒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</si>
  <si>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露酒; 米酒;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餐后酒（利口酒和烈酒）; 果酒（含酒精）; 苹果酒; 白酒</t>
    </r>
  </si>
  <si>
    <t>冝晨小酒</t>
  </si>
  <si>
    <r>
      <t>葡萄酒; 白酒; 餐后酒（利口酒和烈酒）; 果酒（含酒精）; 米酒; 露酒;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苹果酒;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</si>
  <si>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贺</t>
    </r>
    <r>
      <rPr>
        <sz val="11"/>
        <color theme="1"/>
        <rFont val="ＭＳ Ｐゴシック"/>
        <family val="3"/>
        <charset val="128"/>
        <scheme val="minor"/>
      </rPr>
      <t>天下朝</t>
    </r>
    <r>
      <rPr>
        <sz val="11"/>
        <color theme="1"/>
        <rFont val="ＭＳ Ｐゴシック"/>
        <family val="3"/>
        <charset val="134"/>
        <scheme val="minor"/>
      </rPr>
      <t>贺</t>
    </r>
    <r>
      <rPr>
        <sz val="11"/>
        <color theme="1"/>
        <rFont val="ＭＳ Ｐゴシック"/>
        <family val="3"/>
        <charset val="128"/>
        <scheme val="minor"/>
      </rPr>
      <t>礼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</si>
  <si>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34"/>
        <scheme val="minor"/>
      </rPr>
      <t>贺</t>
    </r>
    <r>
      <rPr>
        <sz val="11"/>
        <color theme="1"/>
        <rFont val="ＭＳ Ｐゴシック"/>
        <family val="3"/>
        <charset val="128"/>
        <scheme val="minor"/>
      </rPr>
      <t>天下酒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</si>
  <si>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清酒（日本米酒）; 烈酒; 威士忌;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食用酒精; 伏特加酒</t>
    </r>
  </si>
  <si>
    <r>
      <t>匀将成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 xml:space="preserve"> 福</t>
    </r>
    <r>
      <rPr>
        <sz val="11"/>
        <color theme="1"/>
        <rFont val="ＭＳ Ｐゴシック"/>
        <family val="3"/>
        <charset val="134"/>
        <scheme val="minor"/>
      </rPr>
      <t>龙腾飞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</si>
  <si>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伏特加酒; 食用酒精; 白酒; 葡萄酒; 果酒（含酒精）</t>
    </r>
  </si>
  <si>
    <t>瑨旺晟泰</t>
  </si>
  <si>
    <r>
      <t>山西瑨旺晟泰酒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</si>
  <si>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米酒; 蜂蜜酒; 果酒（含酒精）; 白酒; 食用酒精;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</si>
  <si>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张</t>
    </r>
    <r>
      <rPr>
        <sz val="11"/>
        <color theme="1"/>
        <rFont val="ＭＳ Ｐゴシック"/>
        <family val="3"/>
        <charset val="128"/>
        <scheme val="minor"/>
      </rPr>
      <t>雨</t>
    </r>
    <r>
      <rPr>
        <sz val="11"/>
        <color theme="1"/>
        <rFont val="ＭＳ Ｐゴシック"/>
        <family val="3"/>
        <charset val="134"/>
        <scheme val="minor"/>
      </rPr>
      <t>华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</si>
  <si>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亚</t>
    </r>
    <r>
      <rPr>
        <sz val="11"/>
        <color theme="1"/>
        <rFont val="ＭＳ Ｐゴシック"/>
        <family val="3"/>
        <charset val="128"/>
        <scheme val="minor"/>
      </rPr>
      <t xml:space="preserve">力酒;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果酒（含酒精）; 白酒; 伏特加酒; 梨酒; 黄酒; 葡萄酒</t>
    </r>
  </si>
  <si>
    <t>旗界</t>
  </si>
  <si>
    <r>
      <t>无</t>
    </r>
    <r>
      <rPr>
        <sz val="11"/>
        <color theme="1"/>
        <rFont val="ＭＳ Ｐゴシック"/>
        <family val="3"/>
        <charset val="134"/>
        <scheme val="minor"/>
      </rPr>
      <t>锡</t>
    </r>
    <r>
      <rPr>
        <sz val="11"/>
        <color theme="1"/>
        <rFont val="ＭＳ Ｐゴシック"/>
        <family val="3"/>
        <charset val="128"/>
        <scheme val="minor"/>
      </rPr>
      <t>酒神商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</si>
  <si>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白酒;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蒸煮提取物（利口酒和烈酒）;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</si>
  <si>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醍</t>
    </r>
    <r>
      <rPr>
        <sz val="11"/>
        <color theme="1"/>
        <rFont val="ＭＳ Ｐゴシック"/>
        <family val="3"/>
        <charset val="134"/>
        <scheme val="minor"/>
      </rPr>
      <t>顺</t>
    </r>
  </si>
  <si>
    <r>
      <t>陈</t>
    </r>
    <r>
      <rPr>
        <sz val="11"/>
        <color theme="1"/>
        <rFont val="ＭＳ Ｐゴシック"/>
        <family val="3"/>
        <charset val="129"/>
        <scheme val="minor"/>
      </rPr>
      <t>胜</t>
    </r>
    <r>
      <rPr>
        <sz val="11"/>
        <color theme="1"/>
        <rFont val="ＭＳ Ｐゴシック"/>
        <family val="3"/>
        <charset val="128"/>
        <scheme val="minor"/>
      </rPr>
      <t>中</t>
    </r>
  </si>
  <si>
    <r>
      <t>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青稞酒;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米酒; 黄酒; 葡萄酒;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</si>
  <si>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老</t>
    </r>
    <r>
      <rPr>
        <sz val="11"/>
        <color theme="1"/>
        <rFont val="ＭＳ Ｐゴシック"/>
        <family val="3"/>
        <charset val="134"/>
        <scheme val="minor"/>
      </rPr>
      <t>涧</t>
    </r>
    <r>
      <rPr>
        <sz val="11"/>
        <color theme="1"/>
        <rFont val="ＭＳ Ｐゴシック"/>
        <family val="3"/>
        <charset val="128"/>
        <scheme val="minor"/>
      </rPr>
      <t>上</t>
    </r>
  </si>
  <si>
    <r>
      <t>惠州一</t>
    </r>
    <r>
      <rPr>
        <sz val="11"/>
        <color theme="1"/>
        <rFont val="ＭＳ Ｐゴシック"/>
        <family val="3"/>
        <charset val="134"/>
        <scheme val="minor"/>
      </rPr>
      <t>贽</t>
    </r>
    <r>
      <rPr>
        <sz val="11"/>
        <color theme="1"/>
        <rFont val="ＭＳ Ｐゴシック"/>
        <family val="3"/>
        <charset val="128"/>
        <scheme val="minor"/>
      </rPr>
      <t>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播有限公司</t>
    </r>
  </si>
  <si>
    <r>
      <t>米酒;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白酒;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>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高粱酒</t>
    </r>
  </si>
  <si>
    <r>
      <t>觅</t>
    </r>
    <r>
      <rPr>
        <sz val="11"/>
        <color theme="1"/>
        <rFont val="ＭＳ Ｐゴシック"/>
        <family val="3"/>
        <charset val="128"/>
        <scheme val="minor"/>
      </rPr>
      <t>悠品</t>
    </r>
  </si>
  <si>
    <t>陈兰</t>
  </si>
  <si>
    <r>
      <t>果酒（含酒精）;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</t>
    </r>
  </si>
  <si>
    <r>
      <t>噜</t>
    </r>
    <r>
      <rPr>
        <sz val="11"/>
        <color theme="1"/>
        <rFont val="ＭＳ Ｐゴシック"/>
        <family val="3"/>
        <charset val="128"/>
        <scheme val="minor"/>
      </rPr>
      <t>丫</t>
    </r>
    <r>
      <rPr>
        <sz val="11"/>
        <color theme="1"/>
        <rFont val="ＭＳ Ｐゴシック"/>
        <family val="3"/>
        <charset val="134"/>
        <scheme val="minor"/>
      </rPr>
      <t>卤</t>
    </r>
  </si>
  <si>
    <r>
      <t>宁晋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小福</t>
    </r>
    <r>
      <rPr>
        <sz val="11"/>
        <color theme="1"/>
        <rFont val="ＭＳ Ｐゴシック"/>
        <family val="3"/>
        <charset val="134"/>
        <scheme val="minor"/>
      </rPr>
      <t>鸭</t>
    </r>
    <r>
      <rPr>
        <sz val="11"/>
        <color theme="1"/>
        <rFont val="ＭＳ Ｐゴシック"/>
        <family val="3"/>
        <charset val="128"/>
        <scheme val="minor"/>
      </rPr>
      <t>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服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店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</si>
  <si>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威士忌;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开胃酒; 薄荷酒;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果酒</t>
    </r>
  </si>
  <si>
    <r>
      <t>蓑台</t>
    </r>
    <r>
      <rPr>
        <sz val="11"/>
        <color theme="1"/>
        <rFont val="ＭＳ Ｐゴシック"/>
        <family val="3"/>
        <charset val="134"/>
        <scheme val="minor"/>
      </rPr>
      <t>龙</t>
    </r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</si>
  <si>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黄酒; 食用酒精; 青稞酒;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</t>
    </r>
  </si>
  <si>
    <r>
      <t>传</t>
    </r>
    <r>
      <rPr>
        <sz val="11"/>
        <color theme="1"/>
        <rFont val="ＭＳ Ｐゴシック"/>
        <family val="3"/>
        <charset val="128"/>
        <scheme val="minor"/>
      </rPr>
      <t>奇宗</t>
    </r>
    <r>
      <rPr>
        <sz val="11"/>
        <color theme="1"/>
        <rFont val="ＭＳ Ｐゴシック"/>
        <family val="3"/>
        <charset val="134"/>
        <scheme val="minor"/>
      </rPr>
      <t>师</t>
    </r>
  </si>
  <si>
    <r>
      <t>香港金仕杰国</t>
    </r>
    <r>
      <rPr>
        <sz val="11"/>
        <color theme="1"/>
        <rFont val="ＭＳ Ｐゴシック"/>
        <family val="3"/>
        <charset val="134"/>
        <scheme val="minor"/>
      </rPr>
      <t>际</t>
    </r>
    <r>
      <rPr>
        <sz val="11"/>
        <color theme="1"/>
        <rFont val="ＭＳ Ｐゴシック"/>
        <family val="3"/>
        <charset val="128"/>
        <scheme val="minor"/>
      </rPr>
      <t>控股有限公司</t>
    </r>
  </si>
  <si>
    <r>
      <t xml:space="preserve">果酒（含酒精）;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黄酒; 伏特加酒;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白酒; 开胃酒; 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</si>
  <si>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PRINCESS PEARL</t>
  </si>
  <si>
    <t>浙江三城食品有限公司</t>
  </si>
  <si>
    <r>
      <t>黄酒; 清酒; 米酒; 汽酒;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蒸煮提取物（利口酒和烈酒）; 白酒</t>
    </r>
  </si>
  <si>
    <t>HZCT</t>
  </si>
  <si>
    <r>
      <t>杭州市城市建</t>
    </r>
    <r>
      <rPr>
        <sz val="11"/>
        <color theme="1"/>
        <rFont val="ＭＳ Ｐゴシック"/>
        <family val="3"/>
        <charset val="134"/>
        <scheme val="minor"/>
      </rPr>
      <t>设</t>
    </r>
    <r>
      <rPr>
        <sz val="11"/>
        <color theme="1"/>
        <rFont val="ＭＳ Ｐゴシック"/>
        <family val="3"/>
        <charset val="128"/>
        <scheme val="minor"/>
      </rPr>
      <t>投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</si>
  <si>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</si>
  <si>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t>持臻</t>
  </si>
  <si>
    <r>
      <t>陈</t>
    </r>
    <r>
      <rPr>
        <sz val="11"/>
        <color theme="1"/>
        <rFont val="ＭＳ Ｐゴシック"/>
        <family val="3"/>
        <charset val="128"/>
        <scheme val="minor"/>
      </rPr>
      <t>欣妮</t>
    </r>
  </si>
  <si>
    <r>
      <t>威士忌; 黄酒; 果酒（含酒精）;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汽酒; 白酒;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</t>
    </r>
  </si>
  <si>
    <r>
      <t>自</t>
    </r>
    <r>
      <rPr>
        <sz val="11"/>
        <color theme="1"/>
        <rFont val="ＭＳ Ｐゴシック"/>
        <family val="3"/>
        <charset val="134"/>
        <scheme val="minor"/>
      </rPr>
      <t>巅</t>
    </r>
  </si>
  <si>
    <r>
      <t>果酒（含酒精）;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汽酒; 米酒; 黄酒; 白酒; 威士忌</t>
    </r>
  </si>
  <si>
    <t>XENI PENG</t>
  </si>
  <si>
    <r>
      <t>福建</t>
    </r>
    <r>
      <rPr>
        <sz val="11"/>
        <color theme="1"/>
        <rFont val="ＭＳ Ｐゴシック"/>
        <family val="3"/>
        <charset val="134"/>
        <scheme val="minor"/>
      </rPr>
      <t>贤鹏贸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</si>
  <si>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葡萄酒;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威士忌; 黄酒; 朗姆酒; 米酒; 清酒（日本米酒）</t>
    </r>
  </si>
  <si>
    <r>
      <t>太白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匠</t>
    </r>
  </si>
  <si>
    <r>
      <t>陕</t>
    </r>
    <r>
      <rPr>
        <sz val="11"/>
        <color theme="1"/>
        <rFont val="ＭＳ Ｐゴシック"/>
        <family val="3"/>
        <charset val="128"/>
        <scheme val="minor"/>
      </rPr>
      <t>西省太白酒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</si>
  <si>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 xml:space="preserve">蒸煮提取物（利口酒和烈酒）;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蜂蜜酒;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葡萄酒; 果酒（含酒精）; 利口酒; 白酒</t>
    </r>
  </si>
  <si>
    <r>
      <t>江</t>
    </r>
    <r>
      <rPr>
        <sz val="11"/>
        <color theme="1"/>
        <rFont val="ＭＳ Ｐゴシック"/>
        <family val="3"/>
        <charset val="134"/>
        <scheme val="minor"/>
      </rPr>
      <t>苏</t>
    </r>
    <r>
      <rPr>
        <sz val="11"/>
        <color theme="1"/>
        <rFont val="ＭＳ Ｐゴシック"/>
        <family val="3"/>
        <charset val="128"/>
        <scheme val="minor"/>
      </rPr>
      <t>恒康生物科技有限公司</t>
    </r>
  </si>
  <si>
    <r>
      <t>白酒; 开胃酒;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食用酒精;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</si>
  <si>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酤窖</t>
    </r>
    <r>
      <rPr>
        <sz val="11"/>
        <color theme="1"/>
        <rFont val="ＭＳ Ｐゴシック"/>
        <family val="3"/>
        <charset val="134"/>
        <scheme val="minor"/>
      </rPr>
      <t>红</t>
    </r>
  </si>
  <si>
    <r>
      <t>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市黔</t>
    </r>
    <r>
      <rPr>
        <sz val="11"/>
        <color theme="1"/>
        <rFont val="ＭＳ Ｐゴシック"/>
        <family val="3"/>
        <charset val="134"/>
        <scheme val="minor"/>
      </rPr>
      <t>赖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</si>
  <si>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利口酒; 食用酒精; 高粱酒; 烈性干酒; 黑覆盆子酒; 刺五加酒; 白酒; 白干酒（中国白酒）; 甘蔗制烈酒;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</si>
  <si>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果</t>
    </r>
    <r>
      <rPr>
        <sz val="11"/>
        <color theme="1"/>
        <rFont val="ＭＳ Ｐゴシック"/>
        <family val="3"/>
        <charset val="134"/>
        <scheme val="minor"/>
      </rPr>
      <t>润</t>
    </r>
    <r>
      <rPr>
        <sz val="11"/>
        <color theme="1"/>
        <rFont val="ＭＳ Ｐゴシック"/>
        <family val="3"/>
        <charset val="128"/>
        <scheme val="minor"/>
      </rPr>
      <t>心田</t>
    </r>
  </si>
  <si>
    <r>
      <t>恒舒和合</t>
    </r>
    <r>
      <rPr>
        <sz val="11"/>
        <color theme="1"/>
        <rFont val="ＭＳ Ｐゴシック"/>
        <family val="3"/>
        <charset val="134"/>
        <scheme val="minor"/>
      </rPr>
      <t>兴农</t>
    </r>
    <r>
      <rPr>
        <sz val="11"/>
        <color theme="1"/>
        <rFont val="ＭＳ Ｐゴシック"/>
        <family val="3"/>
        <charset val="128"/>
        <scheme val="minor"/>
      </rPr>
      <t>科技（北京）有限公司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</si>
  <si>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白酒; 黄酒; 果酒（含酒精）;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青稞酒</t>
    </r>
  </si>
  <si>
    <r>
      <t>新疆五六商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</si>
  <si>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苹果酒; 黄酒; 食用酒精; 果酒（含酒精）; 米酒; 青稞酒; 白酒; 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</si>
  <si>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龙</t>
    </r>
    <r>
      <rPr>
        <sz val="11"/>
        <color theme="1"/>
        <rFont val="ＭＳ Ｐゴシック"/>
        <family val="3"/>
        <charset val="128"/>
        <scheme val="minor"/>
      </rPr>
      <t>宅</t>
    </r>
    <r>
      <rPr>
        <sz val="11"/>
        <color theme="1"/>
        <rFont val="ＭＳ Ｐゴシック"/>
        <family val="3"/>
        <charset val="134"/>
        <scheme val="minor"/>
      </rPr>
      <t>门</t>
    </r>
  </si>
  <si>
    <r>
      <t xml:space="preserve">米酒; 黄酒; 葡萄酒;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汽酒; 果酒（含酒精）;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</t>
    </r>
  </si>
  <si>
    <t>阳光煋辰</t>
  </si>
  <si>
    <r>
      <t>阳光煋辰（</t>
    </r>
    <r>
      <rPr>
        <sz val="11"/>
        <color theme="1"/>
        <rFont val="ＭＳ Ｐゴシック"/>
        <family val="3"/>
        <charset val="134"/>
        <scheme val="minor"/>
      </rPr>
      <t>苏</t>
    </r>
    <r>
      <rPr>
        <sz val="11"/>
        <color theme="1"/>
        <rFont val="ＭＳ Ｐゴシック"/>
        <family val="3"/>
        <charset val="128"/>
        <scheme val="minor"/>
      </rPr>
      <t>州）科技有限公司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</si>
  <si>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果酒;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白酒; 米酒</t>
    </r>
  </si>
  <si>
    <t>意达加</t>
  </si>
  <si>
    <t>晋江市彩源釉料科技有限公司</t>
  </si>
  <si>
    <r>
      <t xml:space="preserve">葡萄酒; 黄酒; 白酒; 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米酒; 清酒（日本米酒）; 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</si>
  <si>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美</t>
    </r>
    <r>
      <rPr>
        <sz val="11"/>
        <color theme="1"/>
        <rFont val="ＭＳ Ｐゴシック"/>
        <family val="3"/>
        <charset val="134"/>
        <scheme val="minor"/>
      </rPr>
      <t>荡</t>
    </r>
  </si>
  <si>
    <r>
      <t>临</t>
    </r>
    <r>
      <rPr>
        <sz val="11"/>
        <color theme="1"/>
        <rFont val="ＭＳ Ｐゴシック"/>
        <family val="3"/>
        <charset val="128"/>
        <scheme val="minor"/>
      </rPr>
      <t>夏一夏山河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媒有限公司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</si>
  <si>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>酒; 黄酒; 果酒（含酒精）; 苹果酒; 蜂蜜酒; 青稞酒;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梨酒;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草莓酒; 清酒; 米酒</t>
    </r>
  </si>
  <si>
    <r>
      <t>大将成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 xml:space="preserve"> 卧</t>
    </r>
    <r>
      <rPr>
        <sz val="11"/>
        <color theme="1"/>
        <rFont val="ＭＳ Ｐゴシック"/>
        <family val="3"/>
        <charset val="134"/>
        <scheme val="minor"/>
      </rPr>
      <t>龙腾飞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</si>
  <si>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果酒（含酒精）; 食用酒精;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伏特加酒;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清酒（日本米酒）; 葡萄酒</t>
    </r>
  </si>
  <si>
    <r>
      <t>小将成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 xml:space="preserve"> 金</t>
    </r>
    <r>
      <rPr>
        <sz val="11"/>
        <color theme="1"/>
        <rFont val="ＭＳ Ｐゴシック"/>
        <family val="3"/>
        <charset val="134"/>
        <scheme val="minor"/>
      </rPr>
      <t>龙腾飞</t>
    </r>
  </si>
  <si>
    <r>
      <t>果酒（含酒精）; 伏特加酒; 食用酒精; 清酒（日本米酒）;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</si>
  <si>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吉天池特</t>
  </si>
  <si>
    <r>
      <t>郭</t>
    </r>
    <r>
      <rPr>
        <sz val="11"/>
        <color theme="1"/>
        <rFont val="ＭＳ Ｐゴシック"/>
        <family val="3"/>
        <charset val="134"/>
        <scheme val="minor"/>
      </rPr>
      <t>庆</t>
    </r>
    <r>
      <rPr>
        <sz val="11"/>
        <color theme="1"/>
        <rFont val="ＭＳ Ｐゴシック"/>
        <family val="3"/>
        <charset val="128"/>
        <scheme val="minor"/>
      </rPr>
      <t>福</t>
    </r>
  </si>
  <si>
    <r>
      <t>白干酒（中国白酒）; 果酒（含酒精）; 食用酒精;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高粱酒;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葡萄酒; 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</si>
  <si>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邦洞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</si>
  <si>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州荣博酒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</si>
  <si>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米酒; 利口酒; 威士忌;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青稞酒; 葡萄酒</t>
    </r>
  </si>
  <si>
    <r>
      <t>炫彩南</t>
    </r>
    <r>
      <rPr>
        <sz val="11"/>
        <color theme="1"/>
        <rFont val="ＭＳ Ｐゴシック"/>
        <family val="3"/>
        <charset val="134"/>
        <scheme val="minor"/>
      </rPr>
      <t>鲸</t>
    </r>
  </si>
  <si>
    <r>
      <t>江</t>
    </r>
    <r>
      <rPr>
        <sz val="11"/>
        <color theme="1"/>
        <rFont val="ＭＳ Ｐゴシック"/>
        <family val="3"/>
        <charset val="134"/>
        <scheme val="minor"/>
      </rPr>
      <t>苏</t>
    </r>
    <r>
      <rPr>
        <sz val="11"/>
        <color theme="1"/>
        <rFont val="ＭＳ Ｐゴシック"/>
        <family val="3"/>
        <charset val="128"/>
        <scheme val="minor"/>
      </rPr>
      <t>国</t>
    </r>
    <r>
      <rPr>
        <sz val="11"/>
        <color theme="1"/>
        <rFont val="ＭＳ Ｐゴシック"/>
        <family val="3"/>
        <charset val="134"/>
        <scheme val="minor"/>
      </rPr>
      <t>苏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股份有限公司</t>
    </r>
  </si>
  <si>
    <r>
      <t>葡萄酒; 米酒; 高粱酒; 烈酒; 果酒; 青稞酒; 汽酒; 黄酒;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</si>
  <si>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欢</t>
    </r>
    <r>
      <rPr>
        <sz val="11"/>
        <color theme="1"/>
        <rFont val="ＭＳ Ｐゴシック"/>
        <family val="3"/>
        <charset val="128"/>
        <scheme val="minor"/>
      </rPr>
      <t>友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</si>
  <si>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州云景</t>
    </r>
    <r>
      <rPr>
        <sz val="11"/>
        <color theme="1"/>
        <rFont val="ＭＳ Ｐゴシック"/>
        <family val="3"/>
        <charset val="134"/>
        <scheme val="minor"/>
      </rPr>
      <t>环</t>
    </r>
    <r>
      <rPr>
        <sz val="11"/>
        <color theme="1"/>
        <rFont val="ＭＳ Ｐゴシック"/>
        <family val="3"/>
        <charset val="128"/>
        <scheme val="minor"/>
      </rPr>
      <t>保有限公司</t>
    </r>
  </si>
  <si>
    <r>
      <t>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清酒（日本米酒）; 汽酒; 米酒;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黄酒</t>
    </r>
  </si>
  <si>
    <r>
      <t>中</t>
    </r>
    <r>
      <rPr>
        <sz val="11"/>
        <color theme="1"/>
        <rFont val="ＭＳ Ｐゴシック"/>
        <family val="3"/>
        <charset val="134"/>
        <scheme val="minor"/>
      </rPr>
      <t>鉴</t>
    </r>
    <r>
      <rPr>
        <sz val="11"/>
        <color theme="1"/>
        <rFont val="ＭＳ Ｐゴシック"/>
        <family val="3"/>
        <charset val="128"/>
        <scheme val="minor"/>
      </rPr>
      <t>道</t>
    </r>
    <r>
      <rPr>
        <sz val="11"/>
        <color theme="1"/>
        <rFont val="ＭＳ Ｐゴシック"/>
        <family val="3"/>
        <charset val="134"/>
        <scheme val="minor"/>
      </rPr>
      <t>饮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</si>
  <si>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州中</t>
    </r>
    <r>
      <rPr>
        <sz val="11"/>
        <color theme="1"/>
        <rFont val="ＭＳ Ｐゴシック"/>
        <family val="3"/>
        <charset val="134"/>
        <scheme val="minor"/>
      </rPr>
      <t>鉴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</si>
  <si>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露酒;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餐后酒（利口酒和烈酒）; 米酒; 果酒（含酒精）; 苹果酒; 葡萄酒</t>
    </r>
  </si>
  <si>
    <t>来伊份 生活 LYFEN</t>
  </si>
  <si>
    <t>上海来伊份股份有限公司</t>
  </si>
  <si>
    <r>
      <t>黄酒; 果酒（含酒精）; 葡萄酒;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清酒（日本米酒）;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利口酒</t>
    </r>
  </si>
  <si>
    <t>掼经</t>
  </si>
  <si>
    <r>
      <t>清酒（日本米酒）; 果酒; 白酒;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</si>
  <si>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洪厂</t>
    </r>
    <r>
      <rPr>
        <sz val="11"/>
        <color theme="1"/>
        <rFont val="ＭＳ Ｐゴシック"/>
        <family val="3"/>
        <charset val="134"/>
        <scheme val="minor"/>
      </rPr>
      <t>长</t>
    </r>
  </si>
  <si>
    <r>
      <t>安徽五谷醇酒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</si>
  <si>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白干酒（中国白酒）; 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威士忌; 葡萄酒</t>
    </r>
  </si>
  <si>
    <r>
      <t>伴山</t>
    </r>
    <r>
      <rPr>
        <sz val="11"/>
        <color theme="1"/>
        <rFont val="ＭＳ Ｐゴシック"/>
        <family val="3"/>
        <charset val="134"/>
        <scheme val="minor"/>
      </rPr>
      <t>语</t>
    </r>
  </si>
  <si>
    <r>
      <t>青</t>
    </r>
    <r>
      <rPr>
        <sz val="11"/>
        <color theme="1"/>
        <rFont val="ＭＳ Ｐゴシック"/>
        <family val="3"/>
        <charset val="134"/>
        <scheme val="minor"/>
      </rPr>
      <t>岛</t>
    </r>
    <r>
      <rPr>
        <sz val="11"/>
        <color theme="1"/>
        <rFont val="ＭＳ Ｐゴシック"/>
        <family val="3"/>
        <charset val="128"/>
        <scheme val="minor"/>
      </rPr>
      <t>小</t>
    </r>
    <r>
      <rPr>
        <sz val="11"/>
        <color theme="1"/>
        <rFont val="ＭＳ Ｐゴシック"/>
        <family val="3"/>
        <charset val="134"/>
        <scheme val="minor"/>
      </rPr>
      <t>飞</t>
    </r>
    <r>
      <rPr>
        <sz val="11"/>
        <color theme="1"/>
        <rFont val="ＭＳ Ｐゴシック"/>
        <family val="3"/>
        <charset val="128"/>
        <scheme val="minor"/>
      </rPr>
      <t>虫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</si>
  <si>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果酒; 白干酒（中国白酒）;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利口酒</t>
    </r>
  </si>
  <si>
    <t>平民夏氏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</si>
  <si>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酒（烈酒）; 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葡萄酒;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酒; 白酒; 高粱酒;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>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</si>
  <si>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将成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·</t>
    </r>
    <r>
      <rPr>
        <sz val="11"/>
        <color theme="1"/>
        <rFont val="ＭＳ Ｐゴシック"/>
        <family val="3"/>
        <charset val="134"/>
        <scheme val="minor"/>
      </rPr>
      <t>苏龙腾飞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</si>
  <si>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清酒（日本米酒）;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食用酒精; 果酒（含酒精）; 伏特加酒</t>
    </r>
  </si>
  <si>
    <t>九紫恒然</t>
  </si>
  <si>
    <r>
      <t>杭州恒然生</t>
    </r>
    <r>
      <rPr>
        <sz val="11"/>
        <color theme="1"/>
        <rFont val="ＭＳ Ｐゴシック"/>
        <family val="3"/>
        <charset val="134"/>
        <scheme val="minor"/>
      </rPr>
      <t>态农业发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</si>
  <si>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杨</t>
    </r>
    <r>
      <rPr>
        <sz val="11"/>
        <color theme="1"/>
        <rFont val="ＭＳ Ｐゴシック"/>
        <family val="3"/>
        <charset val="128"/>
        <scheme val="minor"/>
      </rPr>
      <t>梅酒; 米酒;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青梅酒;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</si>
  <si>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兴</t>
    </r>
    <r>
      <rPr>
        <sz val="11"/>
        <color theme="1"/>
        <rFont val="ＭＳ Ｐゴシック"/>
        <family val="3"/>
        <charset val="128"/>
        <scheme val="minor"/>
      </rPr>
      <t>合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云起</t>
    </r>
  </si>
  <si>
    <r>
      <t>山西</t>
    </r>
    <r>
      <rPr>
        <sz val="11"/>
        <color theme="1"/>
        <rFont val="ＭＳ Ｐゴシック"/>
        <family val="3"/>
        <charset val="134"/>
        <scheme val="minor"/>
      </rPr>
      <t>兴</t>
    </r>
    <r>
      <rPr>
        <sz val="11"/>
        <color theme="1"/>
        <rFont val="ＭＳ Ｐゴシック"/>
        <family val="3"/>
        <charset val="128"/>
        <scheme val="minor"/>
      </rPr>
      <t>合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品牌管理有限公司</t>
    </r>
  </si>
  <si>
    <r>
      <t>白干酒（中国白酒）; 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</t>
    </r>
  </si>
  <si>
    <r>
      <t>顺</t>
    </r>
    <r>
      <rPr>
        <sz val="11"/>
        <color theme="1"/>
        <rFont val="ＭＳ Ｐゴシック"/>
        <family val="3"/>
        <charset val="128"/>
        <scheme val="minor"/>
      </rPr>
      <t>昌源三花液</t>
    </r>
  </si>
  <si>
    <r>
      <t>广州市</t>
    </r>
    <r>
      <rPr>
        <sz val="11"/>
        <color theme="1"/>
        <rFont val="ＭＳ Ｐゴシック"/>
        <family val="3"/>
        <charset val="134"/>
        <scheme val="minor"/>
      </rPr>
      <t>顺</t>
    </r>
    <r>
      <rPr>
        <sz val="11"/>
        <color theme="1"/>
        <rFont val="ＭＳ Ｐゴシック"/>
        <family val="3"/>
        <charset val="128"/>
        <scheme val="minor"/>
      </rPr>
      <t>昌源酒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</si>
  <si>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汽酒; 威士忌; 梅酒; 伏特加酒; 黄酒;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果酒;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</si>
  <si>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锡</t>
    </r>
    <r>
      <rPr>
        <sz val="11"/>
        <color theme="1"/>
        <rFont val="ＭＳ Ｐゴシック"/>
        <family val="3"/>
        <charset val="128"/>
        <scheme val="minor"/>
      </rPr>
      <t>游礼</t>
    </r>
  </si>
  <si>
    <r>
      <t>陶</t>
    </r>
    <r>
      <rPr>
        <sz val="11"/>
        <color theme="1"/>
        <rFont val="ＭＳ Ｐゴシック"/>
        <family val="3"/>
        <charset val="134"/>
        <scheme val="minor"/>
      </rPr>
      <t>晓</t>
    </r>
    <r>
      <rPr>
        <sz val="11"/>
        <color theme="1"/>
        <rFont val="ＭＳ Ｐゴシック"/>
        <family val="3"/>
        <charset val="128"/>
        <scheme val="minor"/>
      </rPr>
      <t>英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</si>
  <si>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白酒;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伏特加酒; 果酒（含酒精）; 葡萄酒; 威士忌;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</si>
  <si>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熏</t>
    </r>
    <r>
      <rPr>
        <sz val="11"/>
        <color theme="1"/>
        <rFont val="ＭＳ Ｐゴシック"/>
        <family val="3"/>
        <charset val="134"/>
        <scheme val="minor"/>
      </rPr>
      <t>风</t>
    </r>
    <r>
      <rPr>
        <sz val="11"/>
        <color theme="1"/>
        <rFont val="ＭＳ Ｐゴシック"/>
        <family val="3"/>
        <charset val="128"/>
        <scheme val="minor"/>
      </rPr>
      <t>自南</t>
    </r>
  </si>
  <si>
    <r>
      <t>布</t>
    </r>
    <r>
      <rPr>
        <sz val="11"/>
        <color theme="1"/>
        <rFont val="ＭＳ Ｐゴシック"/>
        <family val="3"/>
        <charset val="134"/>
        <scheme val="minor"/>
      </rPr>
      <t>马</t>
    </r>
    <r>
      <rPr>
        <sz val="11"/>
        <color theme="1"/>
        <rFont val="ＭＳ Ｐゴシック"/>
        <family val="3"/>
        <charset val="128"/>
        <scheme val="minor"/>
      </rPr>
      <t>森林（武</t>
    </r>
    <r>
      <rPr>
        <sz val="11"/>
        <color theme="1"/>
        <rFont val="ＭＳ Ｐゴシック"/>
        <family val="3"/>
        <charset val="134"/>
        <scheme val="minor"/>
      </rPr>
      <t>汉</t>
    </r>
    <r>
      <rPr>
        <sz val="11"/>
        <color theme="1"/>
        <rFont val="ＭＳ Ｐゴシック"/>
        <family val="3"/>
        <charset val="128"/>
        <scheme val="minor"/>
      </rPr>
      <t>）教育开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</si>
  <si>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米酒; 白酒;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葡萄酒;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</si>
  <si>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天</t>
    </r>
    <r>
      <rPr>
        <sz val="11"/>
        <color theme="1"/>
        <rFont val="ＭＳ Ｐゴシック"/>
        <family val="3"/>
        <charset val="134"/>
        <scheme val="minor"/>
      </rPr>
      <t>仑</t>
    </r>
    <r>
      <rPr>
        <sz val="11"/>
        <color theme="1"/>
        <rFont val="ＭＳ Ｐゴシック"/>
        <family val="3"/>
        <charset val="128"/>
        <scheme val="minor"/>
      </rPr>
      <t>界</t>
    </r>
  </si>
  <si>
    <t>潘小勇</t>
  </si>
  <si>
    <r>
      <t>开胃酒; 蒸煮提取物（利口酒和烈酒）;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果酒（含酒精）; 葡萄酒;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</si>
  <si>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杨</t>
    </r>
    <r>
      <rPr>
        <sz val="11"/>
        <color theme="1"/>
        <rFont val="ＭＳ Ｐゴシック"/>
        <family val="3"/>
        <charset val="128"/>
        <scheme val="minor"/>
      </rPr>
      <t>占益</t>
    </r>
  </si>
  <si>
    <r>
      <t>米酒;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水果汽酒;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甜酒; 清酒;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白酒; 果酒</t>
    </r>
  </si>
  <si>
    <t>南洋平安99</t>
  </si>
  <si>
    <r>
      <t xml:space="preserve">葡萄酒; 白酒;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食用酒精; 清酒;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</t>
    </r>
  </si>
  <si>
    <t>老尖上</t>
  </si>
  <si>
    <r>
      <t>米酒;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白酒; 高粱酒;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</si>
  <si>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酉</t>
    </r>
    <r>
      <rPr>
        <sz val="11"/>
        <color theme="1"/>
        <rFont val="ＭＳ Ｐゴシック"/>
        <family val="3"/>
        <charset val="134"/>
        <scheme val="minor"/>
      </rPr>
      <t>财</t>
    </r>
    <r>
      <rPr>
        <sz val="11"/>
        <color theme="1"/>
        <rFont val="ＭＳ Ｐゴシック"/>
        <family val="3"/>
        <charset val="128"/>
        <scheme val="minor"/>
      </rPr>
      <t>酉禄</t>
    </r>
  </si>
  <si>
    <r>
      <t>龙</t>
    </r>
    <r>
      <rPr>
        <sz val="11"/>
        <color theme="1"/>
        <rFont val="ＭＳ Ｐゴシック"/>
        <family val="3"/>
        <charset val="129"/>
        <scheme val="minor"/>
      </rPr>
      <t>熵</t>
    </r>
    <r>
      <rPr>
        <sz val="11"/>
        <color theme="1"/>
        <rFont val="ＭＳ Ｐゴシック"/>
        <family val="3"/>
        <charset val="134"/>
        <scheme val="minor"/>
      </rPr>
      <t>纪</t>
    </r>
    <r>
      <rPr>
        <sz val="11"/>
        <color theme="1"/>
        <rFont val="ＭＳ Ｐゴシック"/>
        <family val="3"/>
        <charset val="128"/>
        <scheme val="minor"/>
      </rPr>
      <t>元（深圳）文</t>
    </r>
    <r>
      <rPr>
        <sz val="11"/>
        <color theme="1"/>
        <rFont val="ＭＳ Ｐゴシック"/>
        <family val="3"/>
        <charset val="134"/>
        <scheme val="minor"/>
      </rPr>
      <t>创</t>
    </r>
    <r>
      <rPr>
        <sz val="11"/>
        <color theme="1"/>
        <rFont val="ＭＳ Ｐゴシック"/>
        <family val="3"/>
        <charset val="128"/>
        <scheme val="minor"/>
      </rPr>
      <t>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</si>
  <si>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果酒（含酒精）;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薄荷酒;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葡萄酒</t>
    </r>
  </si>
  <si>
    <t>众易仁</t>
  </si>
  <si>
    <r>
      <t>重</t>
    </r>
    <r>
      <rPr>
        <sz val="11"/>
        <color theme="1"/>
        <rFont val="ＭＳ Ｐゴシック"/>
        <family val="3"/>
        <charset val="134"/>
        <scheme val="minor"/>
      </rPr>
      <t>庆</t>
    </r>
    <r>
      <rPr>
        <sz val="11"/>
        <color theme="1"/>
        <rFont val="ＭＳ Ｐゴシック"/>
        <family val="3"/>
        <charset val="128"/>
        <scheme val="minor"/>
      </rPr>
      <t>众易仁商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服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</si>
  <si>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甘蔗制烈酒;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米酒</t>
    </r>
  </si>
  <si>
    <t>硬肘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</si>
  <si>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市茂达酒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</si>
  <si>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酒（烈酒）; 利口酒; 葡萄酒; 白酒; 米酒; 高粱酒;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</si>
  <si>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汉</t>
    </r>
    <r>
      <rPr>
        <sz val="11"/>
        <color theme="1"/>
        <rFont val="ＭＳ Ｐゴシック"/>
        <family val="3"/>
        <charset val="128"/>
        <scheme val="minor"/>
      </rPr>
      <t>洪典藏</t>
    </r>
  </si>
  <si>
    <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白干酒（中国白酒）; 高粱酒; 米酒;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</t>
    </r>
  </si>
  <si>
    <t>唐氏金耀</t>
  </si>
  <si>
    <t>丁吉云</t>
  </si>
  <si>
    <r>
      <t>果酒（含酒精）; 开胃酒; 高粱酒;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黄酒</t>
    </r>
  </si>
  <si>
    <r>
      <t>圣匠公</t>
    </r>
    <r>
      <rPr>
        <sz val="11"/>
        <color theme="1"/>
        <rFont val="ＭＳ Ｐゴシック"/>
        <family val="3"/>
        <charset val="134"/>
        <scheme val="minor"/>
      </rPr>
      <t>馆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</si>
  <si>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市圣匠名酒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</si>
  <si>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白酒; 餐后酒（利口酒和烈酒）; 苹果酒;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果酒（含酒精）; 露酒;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</si>
  <si>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君非凡</t>
  </si>
  <si>
    <r>
      <t>米酒;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威士忌; 白酒; 葡萄酒; 汽酒</t>
    </r>
  </si>
  <si>
    <r>
      <t>瓦拉</t>
    </r>
    <r>
      <rPr>
        <sz val="11"/>
        <color theme="1"/>
        <rFont val="ＭＳ Ｐゴシック"/>
        <family val="3"/>
        <charset val="134"/>
        <scheme val="minor"/>
      </rPr>
      <t>鲁</t>
    </r>
  </si>
  <si>
    <t>高秀金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</si>
  <si>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伏特加酒; 果酒（含酒精）;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蒸煮提取物（利口酒和烈酒）; 朗姆酒;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</si>
  <si>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维</t>
    </r>
    <r>
      <rPr>
        <sz val="11"/>
        <color theme="1"/>
        <rFont val="ＭＳ Ｐゴシック"/>
        <family val="3"/>
        <charset val="128"/>
        <scheme val="minor"/>
      </rPr>
      <t>思力</t>
    </r>
  </si>
  <si>
    <r>
      <t>白干酒（中国白酒）; 桃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黄酒; 白酒; 清酒;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清酒（日本米酒）; 白葡萄酒;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</t>
    </r>
  </si>
  <si>
    <r>
      <t>帝</t>
    </r>
    <r>
      <rPr>
        <sz val="11"/>
        <color theme="1"/>
        <rFont val="ＭＳ Ｐゴシック"/>
        <family val="3"/>
        <charset val="134"/>
        <scheme val="minor"/>
      </rPr>
      <t>仑</t>
    </r>
    <r>
      <rPr>
        <sz val="11"/>
        <color theme="1"/>
        <rFont val="ＭＳ Ｐゴシック"/>
        <family val="3"/>
        <charset val="128"/>
        <scheme val="minor"/>
      </rPr>
      <t>界</t>
    </r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</si>
  <si>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开胃酒;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蒸煮提取物（利口酒和烈酒）;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</si>
  <si>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景滴</t>
  </si>
  <si>
    <r>
      <t>于</t>
    </r>
    <r>
      <rPr>
        <sz val="11"/>
        <color theme="1"/>
        <rFont val="ＭＳ Ｐゴシック"/>
        <family val="3"/>
        <charset val="134"/>
        <scheme val="minor"/>
      </rPr>
      <t>县伟</t>
    </r>
  </si>
  <si>
    <r>
      <t>威士忌;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开胃酒;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利口酒; 米酒</t>
    </r>
  </si>
  <si>
    <t>穜府人家</t>
  </si>
  <si>
    <r>
      <t>烈酒;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葡萄酒;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果酒; 米酒; 白干酒（中国白酒）;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</t>
    </r>
  </si>
  <si>
    <r>
      <t>庆</t>
    </r>
    <r>
      <rPr>
        <sz val="11"/>
        <color theme="1"/>
        <rFont val="ＭＳ Ｐゴシック"/>
        <family val="3"/>
        <charset val="128"/>
        <scheme val="minor"/>
      </rPr>
      <t>厚极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</si>
  <si>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34"/>
        <scheme val="minor"/>
      </rPr>
      <t>庆</t>
    </r>
    <r>
      <rPr>
        <sz val="11"/>
        <color theme="1"/>
        <rFont val="ＭＳ Ｐゴシック"/>
        <family val="3"/>
        <charset val="128"/>
        <scheme val="minor"/>
      </rPr>
      <t>厚极酒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</si>
  <si>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米酒; 黄酒; 果酒; 白酒</t>
    </r>
  </si>
  <si>
    <r>
      <t>特</t>
    </r>
    <r>
      <rPr>
        <sz val="11"/>
        <color theme="1"/>
        <rFont val="ＭＳ Ｐゴシック"/>
        <family val="3"/>
        <charset val="134"/>
        <scheme val="minor"/>
      </rPr>
      <t>颂</t>
    </r>
    <r>
      <rPr>
        <sz val="11"/>
        <color theme="1"/>
        <rFont val="ＭＳ Ｐゴシック"/>
        <family val="3"/>
        <charset val="128"/>
        <scheme val="minor"/>
      </rPr>
      <t>美</t>
    </r>
  </si>
  <si>
    <r>
      <t>深圳市启智文</t>
    </r>
    <r>
      <rPr>
        <sz val="11"/>
        <color theme="1"/>
        <rFont val="ＭＳ Ｐゴシック"/>
        <family val="3"/>
        <charset val="134"/>
        <scheme val="minor"/>
      </rPr>
      <t>创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</si>
  <si>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黄酒; 葡萄酒; 白酒; 果酒（含酒精）; 利口酒;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</si>
  <si>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九祥洲</t>
  </si>
  <si>
    <r>
      <t>黑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江丹谷</t>
    </r>
    <r>
      <rPr>
        <sz val="11"/>
        <color theme="1"/>
        <rFont val="ＭＳ Ｐゴシック"/>
        <family val="3"/>
        <charset val="134"/>
        <scheme val="minor"/>
      </rPr>
      <t>农业发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</si>
  <si>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 xml:space="preserve">开胃酒; 蒸煮提取物（利口酒和烈酒）; 青稞酒; 黄酒; 白酒; 蜂蜜酒; 清酒（日本米酒）;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</si>
  <si>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圣井泉露</t>
  </si>
  <si>
    <r>
      <t>锦</t>
    </r>
    <r>
      <rPr>
        <sz val="11"/>
        <color theme="1"/>
        <rFont val="ＭＳ Ｐゴシック"/>
        <family val="3"/>
        <charset val="128"/>
        <scheme val="minor"/>
      </rPr>
      <t>州路</t>
    </r>
    <r>
      <rPr>
        <sz val="11"/>
        <color theme="1"/>
        <rFont val="ＭＳ Ｐゴシック"/>
        <family val="3"/>
        <charset val="134"/>
        <scheme val="minor"/>
      </rPr>
      <t>远</t>
    </r>
    <r>
      <rPr>
        <sz val="11"/>
        <color theme="1"/>
        <rFont val="ＭＳ Ｐゴシック"/>
        <family val="3"/>
        <charset val="128"/>
        <scheme val="minor"/>
      </rPr>
      <t>工程勘察</t>
    </r>
    <r>
      <rPr>
        <sz val="11"/>
        <color theme="1"/>
        <rFont val="ＭＳ Ｐゴシック"/>
        <family val="3"/>
        <charset val="134"/>
        <scheme val="minor"/>
      </rPr>
      <t>设计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</si>
  <si>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樱</t>
    </r>
    <r>
      <rPr>
        <sz val="11"/>
        <color theme="1"/>
        <rFont val="ＭＳ Ｐゴシック"/>
        <family val="3"/>
        <charset val="128"/>
        <scheme val="minor"/>
      </rPr>
      <t xml:space="preserve">桃酒; 开胃酒; 黄酒;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混合威士忌酒;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青稞酒;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的白酒;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</si>
  <si>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SHOU GUO YUAN</t>
  </si>
  <si>
    <r>
      <t>河南首果源</t>
    </r>
    <r>
      <rPr>
        <sz val="11"/>
        <color theme="1"/>
        <rFont val="ＭＳ Ｐゴシック"/>
        <family val="3"/>
        <charset val="134"/>
        <scheme val="minor"/>
      </rPr>
      <t>农业实业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</si>
  <si>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黄酒;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果酒（含酒精）; 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伏特加酒</t>
    </r>
  </si>
  <si>
    <t>悟己者</t>
  </si>
  <si>
    <r>
      <t>重</t>
    </r>
    <r>
      <rPr>
        <sz val="11"/>
        <color theme="1"/>
        <rFont val="ＭＳ Ｐゴシック"/>
        <family val="3"/>
        <charset val="134"/>
        <scheme val="minor"/>
      </rPr>
      <t>庆</t>
    </r>
    <r>
      <rPr>
        <sz val="11"/>
        <color theme="1"/>
        <rFont val="ＭＳ Ｐゴシック"/>
        <family val="3"/>
        <charset val="128"/>
        <scheme val="minor"/>
      </rPr>
      <t>微掌柜科技有限公司</t>
    </r>
  </si>
  <si>
    <r>
      <t>红</t>
    </r>
    <r>
      <rPr>
        <sz val="11"/>
        <color theme="1"/>
        <rFont val="ＭＳ Ｐゴシック"/>
        <family val="3"/>
        <charset val="128"/>
        <scheme val="minor"/>
      </rPr>
      <t>葡萄酒; 白干酒（中国白酒）; 果酒; 利口酒; 高粱酒;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米酒; 白酒; 烈酒</t>
    </r>
  </si>
  <si>
    <r>
      <t>财</t>
    </r>
    <r>
      <rPr>
        <sz val="11"/>
        <color theme="1"/>
        <rFont val="ＭＳ Ｐゴシック"/>
        <family val="3"/>
        <charset val="128"/>
        <scheme val="minor"/>
      </rPr>
      <t>恒耀</t>
    </r>
    <r>
      <rPr>
        <sz val="11"/>
        <color theme="1"/>
        <rFont val="ＭＳ Ｐゴシック"/>
        <family val="3"/>
        <charset val="134"/>
        <scheme val="minor"/>
      </rPr>
      <t>润</t>
    </r>
  </si>
  <si>
    <r>
      <t>李</t>
    </r>
    <r>
      <rPr>
        <sz val="11"/>
        <color theme="1"/>
        <rFont val="ＭＳ Ｐゴシック"/>
        <family val="3"/>
        <charset val="134"/>
        <scheme val="minor"/>
      </rPr>
      <t>红刚</t>
    </r>
  </si>
  <si>
    <r>
      <t xml:space="preserve">果酒（含酒精）;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青稞酒; 利口酒;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</t>
    </r>
  </si>
  <si>
    <t>徽墨紫陶坊</t>
  </si>
  <si>
    <r>
      <t>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食用酒精; 清酒（日本米酒）;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果酒（含酒精）</t>
    </r>
  </si>
  <si>
    <r>
      <t>御南</t>
    </r>
    <r>
      <rPr>
        <sz val="11"/>
        <color theme="1"/>
        <rFont val="ＭＳ Ｐゴシック"/>
        <family val="3"/>
        <charset val="134"/>
        <scheme val="minor"/>
      </rPr>
      <t>风</t>
    </r>
  </si>
  <si>
    <r>
      <t>御泉坊酒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（大</t>
    </r>
    <r>
      <rPr>
        <sz val="11"/>
        <color theme="1"/>
        <rFont val="ＭＳ Ｐゴシック"/>
        <family val="3"/>
        <charset val="134"/>
        <scheme val="minor"/>
      </rPr>
      <t>连</t>
    </r>
    <r>
      <rPr>
        <sz val="11"/>
        <color theme="1"/>
        <rFont val="ＭＳ Ｐゴシック"/>
        <family val="3"/>
        <charset val="128"/>
        <scheme val="minor"/>
      </rPr>
      <t>）有限公司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</si>
  <si>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米酒; 葡萄酒; 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清酒（日本米酒）;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白酒</t>
    </r>
  </si>
  <si>
    <r>
      <t>小</t>
    </r>
    <r>
      <rPr>
        <sz val="11"/>
        <color theme="1"/>
        <rFont val="ＭＳ Ｐゴシック"/>
        <family val="3"/>
        <charset val="134"/>
        <scheme val="minor"/>
      </rPr>
      <t>马</t>
    </r>
    <r>
      <rPr>
        <sz val="11"/>
        <color theme="1"/>
        <rFont val="ＭＳ Ｐゴシック"/>
        <family val="3"/>
        <charset val="128"/>
        <scheme val="minor"/>
      </rPr>
      <t>至尊</t>
    </r>
  </si>
  <si>
    <r>
      <t>江西小</t>
    </r>
    <r>
      <rPr>
        <sz val="11"/>
        <color theme="1"/>
        <rFont val="ＭＳ Ｐゴシック"/>
        <family val="3"/>
        <charset val="134"/>
        <scheme val="minor"/>
      </rPr>
      <t>马</t>
    </r>
    <r>
      <rPr>
        <sz val="11"/>
        <color theme="1"/>
        <rFont val="ＭＳ Ｐゴシック"/>
        <family val="3"/>
        <charset val="128"/>
        <scheme val="minor"/>
      </rPr>
      <t>茶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</si>
  <si>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开胃酒; 葡萄酒; 青稞酒;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果酒; 蜂蜜酒; 白酒; 清酒</t>
    </r>
  </si>
  <si>
    <t>聚鑫霸</t>
  </si>
  <si>
    <r>
      <t>乐</t>
    </r>
    <r>
      <rPr>
        <sz val="11"/>
        <color theme="1"/>
        <rFont val="ＭＳ Ｐゴシック"/>
        <family val="3"/>
        <charset val="128"/>
        <scheme val="minor"/>
      </rPr>
      <t>凌聚鑫霸五金交</t>
    </r>
    <r>
      <rPr>
        <sz val="11"/>
        <color theme="1"/>
        <rFont val="ＭＳ Ｐゴシック"/>
        <family val="3"/>
        <charset val="134"/>
        <scheme val="minor"/>
      </rPr>
      <t>电经营</t>
    </r>
    <r>
      <rPr>
        <sz val="11"/>
        <color theme="1"/>
        <rFont val="ＭＳ Ｐゴシック"/>
        <family val="3"/>
        <charset val="128"/>
        <scheme val="minor"/>
      </rPr>
      <t>部（个体工商</t>
    </r>
    <r>
      <rPr>
        <sz val="11"/>
        <color theme="1"/>
        <rFont val="ＭＳ Ｐゴシック"/>
        <family val="3"/>
        <charset val="134"/>
        <scheme val="minor"/>
      </rPr>
      <t>户</t>
    </r>
    <r>
      <rPr>
        <sz val="11"/>
        <color theme="1"/>
        <rFont val="ＭＳ Ｐゴシック"/>
        <family val="3"/>
        <charset val="128"/>
        <scheme val="minor"/>
      </rPr>
      <t>）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</si>
  <si>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米酒; 白酒; 开胃酒; 黄酒; 含酒精的气泡水; 食用酒精; 果酒; 汽酒</t>
    </r>
  </si>
  <si>
    <r>
      <t>君</t>
    </r>
    <r>
      <rPr>
        <sz val="11"/>
        <color theme="1"/>
        <rFont val="ＭＳ Ｐゴシック"/>
        <family val="3"/>
        <charset val="134"/>
        <scheme val="minor"/>
      </rPr>
      <t>问</t>
    </r>
    <r>
      <rPr>
        <sz val="11"/>
        <color theme="1"/>
        <rFont val="ＭＳ Ｐゴシック"/>
        <family val="3"/>
        <charset val="128"/>
        <scheme val="minor"/>
      </rPr>
      <t>愁</t>
    </r>
  </si>
  <si>
    <r>
      <t>张</t>
    </r>
    <r>
      <rPr>
        <sz val="11"/>
        <color theme="1"/>
        <rFont val="ＭＳ Ｐゴシック"/>
        <family val="3"/>
        <charset val="128"/>
        <scheme val="minor"/>
      </rPr>
      <t>非凡</t>
    </r>
  </si>
  <si>
    <r>
      <t>清酒（日本米酒）; 开胃酒; 威士忌; 果酒（含酒精）; 黄酒;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烈酒</t>
    </r>
  </si>
  <si>
    <r>
      <t>名丰嘉</t>
    </r>
    <r>
      <rPr>
        <sz val="11"/>
        <color theme="1"/>
        <rFont val="ＭＳ Ｐゴシック"/>
        <family val="3"/>
        <charset val="134"/>
        <scheme val="minor"/>
      </rPr>
      <t>硕</t>
    </r>
    <r>
      <rPr>
        <sz val="11"/>
        <color theme="1"/>
        <rFont val="ＭＳ Ｐゴシック"/>
        <family val="3"/>
        <charset val="128"/>
        <scheme val="minor"/>
      </rPr>
      <t xml:space="preserve"> 食品</t>
    </r>
  </si>
  <si>
    <r>
      <t>汉</t>
    </r>
    <r>
      <rPr>
        <sz val="11"/>
        <color theme="1"/>
        <rFont val="ＭＳ Ｐゴシック"/>
        <family val="3"/>
        <charset val="128"/>
        <scheme val="minor"/>
      </rPr>
      <t>中名丰嘉</t>
    </r>
    <r>
      <rPr>
        <sz val="11"/>
        <color theme="1"/>
        <rFont val="ＭＳ Ｐゴシック"/>
        <family val="3"/>
        <charset val="134"/>
        <scheme val="minor"/>
      </rPr>
      <t>硕</t>
    </r>
    <r>
      <rPr>
        <sz val="11"/>
        <color theme="1"/>
        <rFont val="ＭＳ Ｐゴシック"/>
        <family val="3"/>
        <charset val="128"/>
        <scheme val="minor"/>
      </rPr>
      <t>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</si>
  <si>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t>果酒; 葡萄酒; 白酒</t>
  </si>
  <si>
    <t>黔坤好日子</t>
  </si>
  <si>
    <r>
      <t>肆拾玖坊（广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）健康科技有限公司</t>
    </r>
  </si>
  <si>
    <r>
      <t>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开胃酒; 蜂蜜酒; 米酒; 黄酒; 果酒（含酒精）</t>
    </r>
  </si>
  <si>
    <t>藤奈</t>
  </si>
  <si>
    <r>
      <t>范</t>
    </r>
    <r>
      <rPr>
        <sz val="11"/>
        <color theme="1"/>
        <rFont val="ＭＳ Ｐゴシック"/>
        <family val="3"/>
        <charset val="134"/>
        <scheme val="minor"/>
      </rPr>
      <t>鹏辉</t>
    </r>
  </si>
  <si>
    <r>
      <t>米酒; 开胃酒;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清酒（日本米酒）;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威士忌; 果酒（含酒精）; 黄酒</t>
    </r>
  </si>
  <si>
    <t>华对</t>
  </si>
  <si>
    <r>
      <t>朱</t>
    </r>
    <r>
      <rPr>
        <sz val="11"/>
        <color theme="1"/>
        <rFont val="ＭＳ Ｐゴシック"/>
        <family val="3"/>
        <charset val="134"/>
        <scheme val="minor"/>
      </rPr>
      <t>亚</t>
    </r>
    <r>
      <rPr>
        <sz val="11"/>
        <color theme="1"/>
        <rFont val="ＭＳ Ｐゴシック"/>
        <family val="3"/>
        <charset val="128"/>
        <scheme val="minor"/>
      </rPr>
      <t>峰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</si>
  <si>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葡萄酒;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清酒（日本米酒）; 米酒;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</si>
  <si>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醇</t>
    </r>
    <r>
      <rPr>
        <sz val="11"/>
        <color theme="1"/>
        <rFont val="ＭＳ Ｐゴシック"/>
        <family val="3"/>
        <charset val="134"/>
        <scheme val="minor"/>
      </rPr>
      <t>远</t>
    </r>
  </si>
  <si>
    <r>
      <t>厦</t>
    </r>
    <r>
      <rPr>
        <sz val="11"/>
        <color theme="1"/>
        <rFont val="ＭＳ Ｐゴシック"/>
        <family val="3"/>
        <charset val="134"/>
        <scheme val="minor"/>
      </rPr>
      <t>门</t>
    </r>
    <r>
      <rPr>
        <sz val="11"/>
        <color theme="1"/>
        <rFont val="ＭＳ Ｐゴシック"/>
        <family val="3"/>
        <charset val="128"/>
        <scheme val="minor"/>
      </rPr>
      <t>醇</t>
    </r>
    <r>
      <rPr>
        <sz val="11"/>
        <color theme="1"/>
        <rFont val="ＭＳ Ｐゴシック"/>
        <family val="3"/>
        <charset val="134"/>
        <scheme val="minor"/>
      </rPr>
      <t>远</t>
    </r>
    <r>
      <rPr>
        <sz val="11"/>
        <color theme="1"/>
        <rFont val="ＭＳ Ｐゴシック"/>
        <family val="3"/>
        <charset val="128"/>
        <scheme val="minor"/>
      </rPr>
      <t>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</si>
  <si>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清酒（日本米酒）; 白酒; 伏特加酒; 食用酒精;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开胃酒;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薄荷酒</t>
    </r>
  </si>
  <si>
    <t>缘唤</t>
  </si>
  <si>
    <t>王安兵</t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</si>
  <si>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黄酒; 威士忌; 白酒; 食用酒精; 果酒（含酒精）; 青稞酒;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</t>
    </r>
  </si>
  <si>
    <r>
      <t>罗</t>
    </r>
    <r>
      <rPr>
        <sz val="11"/>
        <color theme="1"/>
        <rFont val="ＭＳ Ｐゴシック"/>
        <family val="3"/>
        <charset val="128"/>
        <scheme val="minor"/>
      </rPr>
      <t>曼肖邦</t>
    </r>
  </si>
  <si>
    <r>
      <t>周口市淮阳区德</t>
    </r>
    <r>
      <rPr>
        <sz val="11"/>
        <color theme="1"/>
        <rFont val="ＭＳ Ｐゴシック"/>
        <family val="3"/>
        <charset val="134"/>
        <scheme val="minor"/>
      </rPr>
      <t>润</t>
    </r>
    <r>
      <rPr>
        <sz val="11"/>
        <color theme="1"/>
        <rFont val="ＭＳ Ｐゴシック"/>
        <family val="3"/>
        <charset val="128"/>
        <scheme val="minor"/>
      </rPr>
      <t>百</t>
    </r>
    <r>
      <rPr>
        <sz val="11"/>
        <color theme="1"/>
        <rFont val="ＭＳ Ｐゴシック"/>
        <family val="3"/>
        <charset val="134"/>
        <scheme val="minor"/>
      </rPr>
      <t>货</t>
    </r>
    <r>
      <rPr>
        <sz val="11"/>
        <color theme="1"/>
        <rFont val="ＭＳ Ｐゴシック"/>
        <family val="3"/>
        <charset val="128"/>
        <scheme val="minor"/>
      </rPr>
      <t>商行</t>
    </r>
  </si>
  <si>
    <r>
      <t xml:space="preserve">葡萄酒; 清酒（日本米酒）; 起泡白葡萄酒; 清酒; 米酒; 威士忌; 白酒; 白葡萄酒;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果酒</t>
    </r>
  </si>
  <si>
    <t>天正金葛</t>
  </si>
  <si>
    <t>湖南安享正阳和生物科技有限公司</t>
  </si>
  <si>
    <r>
      <t xml:space="preserve">米酒;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利口酒;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果酒; 汽酒;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黄酒;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</si>
  <si>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沃之野甘露</t>
  </si>
  <si>
    <r>
      <t>武</t>
    </r>
    <r>
      <rPr>
        <sz val="11"/>
        <color theme="1"/>
        <rFont val="ＭＳ Ｐゴシック"/>
        <family val="3"/>
        <charset val="134"/>
        <scheme val="minor"/>
      </rPr>
      <t>纪东</t>
    </r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</si>
  <si>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苦味酒; 柑香酒; 黄酒; 威士忌; 青稞酒;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</si>
  <si>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咏江山雍和</t>
  </si>
  <si>
    <t>咏江山（北京）品牌管理有限公司</t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</si>
  <si>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葡萄酒;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朗姆酒; 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</si>
  <si>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金稻</t>
    </r>
    <r>
      <rPr>
        <sz val="11"/>
        <color theme="1"/>
        <rFont val="ＭＳ Ｐゴシック"/>
        <family val="3"/>
        <charset val="134"/>
        <scheme val="minor"/>
      </rPr>
      <t>浔</t>
    </r>
  </si>
  <si>
    <r>
      <t>西咸新区空港新城邦光</t>
    </r>
    <r>
      <rPr>
        <sz val="11"/>
        <color theme="1"/>
        <rFont val="ＭＳ Ｐゴシック"/>
        <family val="3"/>
        <charset val="134"/>
        <scheme val="minor"/>
      </rPr>
      <t>锐</t>
    </r>
    <r>
      <rPr>
        <sz val="11"/>
        <color theme="1"/>
        <rFont val="ＭＳ Ｐゴシック"/>
        <family val="3"/>
        <charset val="128"/>
        <scheme val="minor"/>
      </rPr>
      <t>百</t>
    </r>
    <r>
      <rPr>
        <sz val="11"/>
        <color theme="1"/>
        <rFont val="ＭＳ Ｐゴシック"/>
        <family val="3"/>
        <charset val="134"/>
        <scheme val="minor"/>
      </rPr>
      <t>货</t>
    </r>
    <r>
      <rPr>
        <sz val="11"/>
        <color theme="1"/>
        <rFont val="ＭＳ Ｐゴシック"/>
        <family val="3"/>
        <charset val="128"/>
        <scheme val="minor"/>
      </rPr>
      <t>店（个体工商</t>
    </r>
    <r>
      <rPr>
        <sz val="11"/>
        <color theme="1"/>
        <rFont val="ＭＳ Ｐゴシック"/>
        <family val="3"/>
        <charset val="134"/>
        <scheme val="minor"/>
      </rPr>
      <t>户</t>
    </r>
    <r>
      <rPr>
        <sz val="11"/>
        <color theme="1"/>
        <rFont val="ＭＳ Ｐゴシック"/>
        <family val="3"/>
        <charset val="128"/>
        <scheme val="minor"/>
      </rPr>
      <t>）</t>
    </r>
  </si>
  <si>
    <t>白酒; 米酒; 黄酒; 葡萄酒; 甜酒; 食用酒精; 开胃酒; 果酒; 汽酒; 清酒</t>
  </si>
  <si>
    <t>伯温洲汗</t>
  </si>
  <si>
    <t>王航</t>
  </si>
  <si>
    <r>
      <t>白酒; 开胃酒; 米酒; 果酒（含酒精）; 食用酒精;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烈酒; 黄酒; 五加皮酒（中国混合烈酒）; 汽酒</t>
    </r>
  </si>
  <si>
    <r>
      <t>炎黄大</t>
    </r>
    <r>
      <rPr>
        <sz val="11"/>
        <color theme="1"/>
        <rFont val="ＭＳ Ｐゴシック"/>
        <family val="3"/>
        <charset val="134"/>
        <scheme val="minor"/>
      </rPr>
      <t>师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</si>
  <si>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清酒（日本米酒）;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米酒</t>
    </r>
  </si>
  <si>
    <r>
      <t>宠</t>
    </r>
    <r>
      <rPr>
        <sz val="11"/>
        <color theme="1"/>
        <rFont val="ＭＳ Ｐゴシック"/>
        <family val="3"/>
        <charset val="128"/>
        <scheme val="minor"/>
      </rPr>
      <t>佰年</t>
    </r>
  </si>
  <si>
    <r>
      <t>杨</t>
    </r>
    <r>
      <rPr>
        <sz val="11"/>
        <color theme="1"/>
        <rFont val="ＭＳ Ｐゴシック"/>
        <family val="3"/>
        <charset val="128"/>
        <scheme val="minor"/>
      </rPr>
      <t>君敏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</si>
  <si>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开胃酒; 食用酒精; 黄酒; 白酒; 葡萄酒; 果酒（含酒精）; 威士忌;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</si>
  <si>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CEHOIR</t>
  </si>
  <si>
    <r>
      <t>赵</t>
    </r>
    <r>
      <rPr>
        <sz val="11"/>
        <color theme="1"/>
        <rFont val="ＭＳ Ｐゴシック"/>
        <family val="3"/>
        <charset val="128"/>
        <scheme val="minor"/>
      </rPr>
      <t>灵春</t>
    </r>
  </si>
  <si>
    <r>
      <t>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</t>
    </r>
  </si>
  <si>
    <r>
      <t>椿</t>
    </r>
    <r>
      <rPr>
        <sz val="11"/>
        <color theme="1"/>
        <rFont val="ＭＳ Ｐゴシック"/>
        <family val="3"/>
        <charset val="134"/>
        <scheme val="minor"/>
      </rPr>
      <t>风</t>
    </r>
    <r>
      <rPr>
        <sz val="11"/>
        <color theme="1"/>
        <rFont val="ＭＳ Ｐゴシック"/>
        <family val="3"/>
        <charset val="128"/>
        <scheme val="minor"/>
      </rPr>
      <t>笑</t>
    </r>
  </si>
  <si>
    <r>
      <t>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米酒; 葡萄酒; 清酒（日本米酒）;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</si>
  <si>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郁金珀</t>
  </si>
  <si>
    <r>
      <t xml:space="preserve">果酒; 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米酒; 葡萄酒</t>
    </r>
  </si>
  <si>
    <r>
      <t>兴</t>
    </r>
    <r>
      <rPr>
        <sz val="11"/>
        <color theme="1"/>
        <rFont val="ＭＳ Ｐゴシック"/>
        <family val="3"/>
        <charset val="128"/>
        <scheme val="minor"/>
      </rPr>
      <t>者</t>
    </r>
  </si>
  <si>
    <r>
      <t xml:space="preserve">果酒（含酒精）; 葡萄酒; 黄酒; 食用酒精; 清酒; 烈酒;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高粱酒; 白酒</t>
    </r>
  </si>
  <si>
    <r>
      <t>岁</t>
    </r>
    <r>
      <rPr>
        <sz val="11"/>
        <color theme="1"/>
        <rFont val="ＭＳ Ｐゴシック"/>
        <family val="3"/>
        <charset val="128"/>
        <scheme val="minor"/>
      </rPr>
      <t>粮仙</t>
    </r>
  </si>
  <si>
    <t>程利樊</t>
  </si>
  <si>
    <r>
      <t>白酒; 黄酒; 果酒（含酒精）; 清酒（日本米酒）;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白干酒（中国白酒）; 米酒; 葡萄酒; 烈酒</t>
    </r>
  </si>
  <si>
    <t>惜寿元</t>
  </si>
  <si>
    <r>
      <t>张</t>
    </r>
    <r>
      <rPr>
        <sz val="11"/>
        <color theme="1"/>
        <rFont val="ＭＳ Ｐゴシック"/>
        <family val="3"/>
        <charset val="128"/>
        <scheme val="minor"/>
      </rPr>
      <t>家志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</si>
  <si>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食用酒精;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高粱酒; 果酒（含酒精）; 米酒; 白酒</t>
    </r>
  </si>
  <si>
    <r>
      <t>晓</t>
    </r>
    <r>
      <rPr>
        <sz val="11"/>
        <color theme="1"/>
        <rFont val="ＭＳ Ｐゴシック"/>
        <family val="3"/>
        <charset val="129"/>
        <scheme val="minor"/>
      </rPr>
      <t>滘</t>
    </r>
    <r>
      <rPr>
        <sz val="11"/>
        <color theme="1"/>
        <rFont val="ＭＳ Ｐゴシック"/>
        <family val="3"/>
        <charset val="128"/>
        <scheme val="minor"/>
      </rPr>
      <t>台</t>
    </r>
  </si>
  <si>
    <r>
      <t>赵</t>
    </r>
    <r>
      <rPr>
        <sz val="11"/>
        <color theme="1"/>
        <rFont val="ＭＳ Ｐゴシック"/>
        <family val="3"/>
        <charset val="128"/>
        <scheme val="minor"/>
      </rPr>
      <t>金法</t>
    </r>
  </si>
  <si>
    <r>
      <t>米酒; 食用酒精;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开胃酒; 黄酒</t>
    </r>
  </si>
  <si>
    <r>
      <t>酝</t>
    </r>
    <r>
      <rPr>
        <sz val="11"/>
        <color theme="1"/>
        <rFont val="ＭＳ Ｐゴシック"/>
        <family val="3"/>
        <charset val="128"/>
        <scheme val="minor"/>
      </rPr>
      <t>江南</t>
    </r>
  </si>
  <si>
    <r>
      <t>丹阳市</t>
    </r>
    <r>
      <rPr>
        <sz val="11"/>
        <color theme="1"/>
        <rFont val="ＭＳ Ｐゴシック"/>
        <family val="3"/>
        <charset val="134"/>
        <scheme val="minor"/>
      </rPr>
      <t>吕</t>
    </r>
    <r>
      <rPr>
        <sz val="11"/>
        <color theme="1"/>
        <rFont val="ＭＳ Ｐゴシック"/>
        <family val="3"/>
        <charset val="128"/>
        <scheme val="minor"/>
      </rPr>
      <t>城</t>
    </r>
    <r>
      <rPr>
        <sz val="11"/>
        <color theme="1"/>
        <rFont val="ＭＳ Ｐゴシック"/>
        <family val="3"/>
        <charset val="134"/>
        <scheme val="minor"/>
      </rPr>
      <t>镇</t>
    </r>
    <r>
      <rPr>
        <sz val="11"/>
        <color theme="1"/>
        <rFont val="ＭＳ Ｐゴシック"/>
        <family val="3"/>
        <charset val="128"/>
        <scheme val="minor"/>
      </rPr>
      <t>利君老坊食品商行</t>
    </r>
  </si>
  <si>
    <r>
      <t>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利口酒; 白酒; 烈酒; 开胃酒; 葡萄酒; 黄酒</t>
    </r>
  </si>
  <si>
    <r>
      <t>城</t>
    </r>
    <r>
      <rPr>
        <sz val="11"/>
        <color theme="1"/>
        <rFont val="ＭＳ Ｐゴシック"/>
        <family val="3"/>
        <charset val="134"/>
        <scheme val="minor"/>
      </rPr>
      <t>墙</t>
    </r>
    <r>
      <rPr>
        <sz val="11"/>
        <color theme="1"/>
        <rFont val="ＭＳ Ｐゴシック"/>
        <family val="3"/>
        <charset val="128"/>
        <scheme val="minor"/>
      </rPr>
      <t>里</t>
    </r>
  </si>
  <si>
    <t>宗玲歌</t>
  </si>
  <si>
    <t>开胃酒; 果酒; 葡萄酒; 食用酒精; 黄酒; 汽酒; 清酒; 白酒; 米酒; 甜酒</t>
  </si>
  <si>
    <r>
      <t>川</t>
    </r>
    <r>
      <rPr>
        <sz val="11"/>
        <color theme="1"/>
        <rFont val="ＭＳ Ｐゴシック"/>
        <family val="3"/>
        <charset val="134"/>
        <scheme val="minor"/>
      </rPr>
      <t>龙腾</t>
    </r>
  </si>
  <si>
    <r>
      <t>清流</t>
    </r>
    <r>
      <rPr>
        <sz val="11"/>
        <color theme="1"/>
        <rFont val="ＭＳ Ｐゴシック"/>
        <family val="3"/>
        <charset val="134"/>
        <scheme val="minor"/>
      </rPr>
      <t>县龙</t>
    </r>
    <r>
      <rPr>
        <sz val="11"/>
        <color theme="1"/>
        <rFont val="ＭＳ Ｐゴシック"/>
        <family val="3"/>
        <charset val="128"/>
        <scheme val="minor"/>
      </rPr>
      <t>津</t>
    </r>
    <r>
      <rPr>
        <sz val="11"/>
        <color theme="1"/>
        <rFont val="ＭＳ Ｐゴシック"/>
        <family val="3"/>
        <charset val="134"/>
        <scheme val="minor"/>
      </rPr>
      <t>镇</t>
    </r>
    <r>
      <rPr>
        <sz val="11"/>
        <color theme="1"/>
        <rFont val="ＭＳ Ｐゴシック"/>
        <family val="3"/>
        <charset val="128"/>
        <scheme val="minor"/>
      </rPr>
      <t>中</t>
    </r>
    <r>
      <rPr>
        <sz val="11"/>
        <color theme="1"/>
        <rFont val="ＭＳ Ｐゴシック"/>
        <family val="3"/>
        <charset val="134"/>
        <scheme val="minor"/>
      </rPr>
      <t>疗</t>
    </r>
    <r>
      <rPr>
        <sz val="11"/>
        <color theme="1"/>
        <rFont val="ＭＳ Ｐゴシック"/>
        <family val="3"/>
        <charset val="128"/>
        <scheme val="minor"/>
      </rPr>
      <t>百</t>
    </r>
    <r>
      <rPr>
        <sz val="11"/>
        <color theme="1"/>
        <rFont val="ＭＳ Ｐゴシック"/>
        <family val="3"/>
        <charset val="134"/>
        <scheme val="minor"/>
      </rPr>
      <t>货</t>
    </r>
    <r>
      <rPr>
        <sz val="11"/>
        <color theme="1"/>
        <rFont val="ＭＳ Ｐゴシック"/>
        <family val="3"/>
        <charset val="128"/>
        <scheme val="minor"/>
      </rPr>
      <t>商行</t>
    </r>
  </si>
  <si>
    <r>
      <t>青梅酒; 日本梅子酒; 果酒; 葡萄酒; 果酒（含酒精）; 甜酒; 白酒;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清酒; 露酒</t>
    </r>
  </si>
  <si>
    <r>
      <t>华</t>
    </r>
    <r>
      <rPr>
        <sz val="11"/>
        <color theme="1"/>
        <rFont val="ＭＳ Ｐゴシック"/>
        <family val="3"/>
        <charset val="128"/>
        <scheme val="minor"/>
      </rPr>
      <t>霏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</si>
  <si>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清酒（日本米酒）;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威士忌</t>
    </r>
  </si>
  <si>
    <r>
      <t>康养</t>
    </r>
    <r>
      <rPr>
        <sz val="11"/>
        <color theme="1"/>
        <rFont val="ＭＳ Ｐゴシック"/>
        <family val="3"/>
        <charset val="134"/>
        <scheme val="minor"/>
      </rPr>
      <t>纪</t>
    </r>
  </si>
  <si>
    <r>
      <t>梁</t>
    </r>
    <r>
      <rPr>
        <sz val="11"/>
        <color theme="1"/>
        <rFont val="ＭＳ Ｐゴシック"/>
        <family val="3"/>
        <charset val="134"/>
        <scheme val="minor"/>
      </rPr>
      <t>艳艳</t>
    </r>
  </si>
  <si>
    <t>白酒; 黄酒; 葡萄酒; 汽酒; 米酒; 食用酒精; 开胃酒; 果酒; 甜酒; 清酒</t>
  </si>
  <si>
    <t>元日花雪</t>
  </si>
  <si>
    <r>
      <t>周敏</t>
    </r>
    <r>
      <rPr>
        <sz val="11"/>
        <color theme="1"/>
        <rFont val="ＭＳ Ｐゴシック"/>
        <family val="3"/>
        <charset val="134"/>
        <scheme val="minor"/>
      </rPr>
      <t>仪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</si>
  <si>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蒸煮提取物（利口酒和烈酒）;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开胃酒;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清酒; 黄酒; 食用酒精; 果酒（含酒精）</t>
    </r>
  </si>
  <si>
    <t>GOOGIMS</t>
  </si>
  <si>
    <r>
      <t>武威中穗</t>
    </r>
    <r>
      <rPr>
        <sz val="11"/>
        <color theme="1"/>
        <rFont val="ＭＳ Ｐゴシック"/>
        <family val="3"/>
        <charset val="134"/>
        <scheme val="minor"/>
      </rPr>
      <t>实业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</si>
  <si>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酸酒（低等葡萄酒）;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苹果酒; 青稞酒; 伏特加酒; 白酒; 果酒（含酒精）;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</si>
  <si>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晋粮悟</t>
  </si>
  <si>
    <t>汪玉珍</t>
  </si>
  <si>
    <r>
      <t>汽酒; 黄酒; 米酒; 葡萄酒;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白干酒（中国白酒）; 佐餐酒</t>
    </r>
  </si>
  <si>
    <r>
      <t>呼</t>
    </r>
    <r>
      <rPr>
        <sz val="11"/>
        <color theme="1"/>
        <rFont val="ＭＳ Ｐゴシック"/>
        <family val="3"/>
        <charset val="134"/>
        <scheme val="minor"/>
      </rPr>
      <t>伦贝尔</t>
    </r>
    <r>
      <rPr>
        <sz val="11"/>
        <color theme="1"/>
        <rFont val="ＭＳ Ｐゴシック"/>
        <family val="3"/>
        <charset val="128"/>
        <scheme val="minor"/>
      </rPr>
      <t>市巴</t>
    </r>
    <r>
      <rPr>
        <sz val="11"/>
        <color theme="1"/>
        <rFont val="ＭＳ Ｐゴシック"/>
        <family val="3"/>
        <charset val="134"/>
        <scheme val="minor"/>
      </rPr>
      <t>尔</t>
    </r>
    <r>
      <rPr>
        <sz val="11"/>
        <color theme="1"/>
        <rFont val="ＭＳ Ｐゴシック"/>
        <family val="3"/>
        <charset val="128"/>
        <scheme val="minor"/>
      </rPr>
      <t>虎酒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</si>
  <si>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食用酒精;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葡萄酒; 高粱酒;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威士忌; 白酒;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</t>
    </r>
  </si>
  <si>
    <r>
      <t>一</t>
    </r>
    <r>
      <rPr>
        <sz val="11"/>
        <color theme="1"/>
        <rFont val="ＭＳ Ｐゴシック"/>
        <family val="3"/>
        <charset val="134"/>
        <scheme val="minor"/>
      </rPr>
      <t>坛</t>
    </r>
    <r>
      <rPr>
        <sz val="11"/>
        <color theme="1"/>
        <rFont val="ＭＳ Ｐゴシック"/>
        <family val="3"/>
        <charset val="128"/>
        <scheme val="minor"/>
      </rPr>
      <t>月</t>
    </r>
  </si>
  <si>
    <r>
      <t>郑</t>
    </r>
    <r>
      <rPr>
        <sz val="11"/>
        <color theme="1"/>
        <rFont val="ＭＳ Ｐゴシック"/>
        <family val="3"/>
        <charset val="128"/>
        <scheme val="minor"/>
      </rPr>
      <t>德兵</t>
    </r>
  </si>
  <si>
    <r>
      <t>烈酒; 果酒（含酒精）; 黄酒; 清酒（日本米酒）; 葡萄酒; 白酒; 开胃酒;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</si>
  <si>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食湘迎</t>
  </si>
  <si>
    <r>
      <t>徐</t>
    </r>
    <r>
      <rPr>
        <sz val="11"/>
        <color theme="1"/>
        <rFont val="ＭＳ Ｐゴシック"/>
        <family val="3"/>
        <charset val="134"/>
        <scheme val="minor"/>
      </rPr>
      <t>连军</t>
    </r>
  </si>
  <si>
    <r>
      <t>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食用酒精;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白酒; 米酒</t>
    </r>
  </si>
  <si>
    <r>
      <t>陆</t>
    </r>
    <r>
      <rPr>
        <sz val="11"/>
        <color theme="1"/>
        <rFont val="ＭＳ Ｐゴシック"/>
        <family val="3"/>
        <charset val="128"/>
        <scheme val="minor"/>
      </rPr>
      <t>芳旬</t>
    </r>
  </si>
  <si>
    <r>
      <t>泸</t>
    </r>
    <r>
      <rPr>
        <sz val="11"/>
        <color theme="1"/>
        <rFont val="ＭＳ Ｐゴシック"/>
        <family val="3"/>
        <charset val="128"/>
        <scheme val="minor"/>
      </rPr>
      <t>州精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</si>
  <si>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食用酒精;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蒸煮提取物（利口酒和烈酒）; 葡萄酒; 果酒</t>
    </r>
  </si>
  <si>
    <r>
      <t>羲之</t>
    </r>
    <r>
      <rPr>
        <sz val="11"/>
        <color theme="1"/>
        <rFont val="ＭＳ Ｐゴシック"/>
        <family val="3"/>
        <charset val="134"/>
        <scheme val="minor"/>
      </rPr>
      <t>书</t>
    </r>
  </si>
  <si>
    <r>
      <t xml:space="preserve">甘蔗制烈酒;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葡萄酒;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米酒;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</si>
  <si>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水</t>
    </r>
    <r>
      <rPr>
        <sz val="11"/>
        <color theme="1"/>
        <rFont val="ＭＳ Ｐゴシック"/>
        <family val="3"/>
        <charset val="134"/>
        <scheme val="minor"/>
      </rPr>
      <t>语</t>
    </r>
    <r>
      <rPr>
        <sz val="11"/>
        <color theme="1"/>
        <rFont val="ＭＳ Ｐゴシック"/>
        <family val="3"/>
        <charset val="128"/>
        <scheme val="minor"/>
      </rPr>
      <t>良田</t>
    </r>
  </si>
  <si>
    <r>
      <t>北京合</t>
    </r>
    <r>
      <rPr>
        <sz val="11"/>
        <color theme="1"/>
        <rFont val="ＭＳ Ｐゴシック"/>
        <family val="3"/>
        <charset val="134"/>
        <scheme val="minor"/>
      </rPr>
      <t>庆</t>
    </r>
    <r>
      <rPr>
        <sz val="11"/>
        <color theme="1"/>
        <rFont val="ＭＳ Ｐゴシック"/>
        <family val="3"/>
        <charset val="128"/>
        <scheme val="minor"/>
      </rPr>
      <t>源</t>
    </r>
    <r>
      <rPr>
        <sz val="11"/>
        <color theme="1"/>
        <rFont val="ＭＳ Ｐゴシック"/>
        <family val="3"/>
        <charset val="134"/>
        <scheme val="minor"/>
      </rPr>
      <t>农业</t>
    </r>
    <r>
      <rPr>
        <sz val="11"/>
        <color theme="1"/>
        <rFont val="ＭＳ Ｐゴシック"/>
        <family val="3"/>
        <charset val="128"/>
        <scheme val="minor"/>
      </rPr>
      <t>科技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</si>
  <si>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苹果酒;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黄酒;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果酒; 米酒; 青稞酒;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</t>
    </r>
  </si>
  <si>
    <t>逍春遥秋</t>
  </si>
  <si>
    <r>
      <t>苏</t>
    </r>
    <r>
      <rPr>
        <sz val="11"/>
        <color theme="1"/>
        <rFont val="ＭＳ Ｐゴシック"/>
        <family val="3"/>
        <charset val="128"/>
        <scheme val="minor"/>
      </rPr>
      <t>州逍遥春秋企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</si>
  <si>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甜酒;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米酒（泡盛酒）; 高粱酒; 黄酒; 清酒; 烈酒;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</t>
    </r>
  </si>
  <si>
    <r>
      <t>三江</t>
    </r>
    <r>
      <rPr>
        <sz val="11"/>
        <color theme="1"/>
        <rFont val="ＭＳ Ｐゴシック"/>
        <family val="3"/>
        <charset val="134"/>
        <scheme val="minor"/>
      </rPr>
      <t>风</t>
    </r>
    <r>
      <rPr>
        <sz val="11"/>
        <color theme="1"/>
        <rFont val="ＭＳ Ｐゴシック"/>
        <family val="3"/>
        <charset val="128"/>
        <scheme val="minor"/>
      </rPr>
      <t>雅</t>
    </r>
  </si>
  <si>
    <r>
      <t>哈</t>
    </r>
    <r>
      <rPr>
        <sz val="11"/>
        <color theme="1"/>
        <rFont val="ＭＳ Ｐゴシック"/>
        <family val="3"/>
        <charset val="134"/>
        <scheme val="minor"/>
      </rPr>
      <t>尔滨</t>
    </r>
    <r>
      <rPr>
        <sz val="11"/>
        <color theme="1"/>
        <rFont val="ＭＳ Ｐゴシック"/>
        <family val="3"/>
        <charset val="128"/>
        <scheme val="minor"/>
      </rPr>
      <t>小酒喔酒</t>
    </r>
    <r>
      <rPr>
        <sz val="11"/>
        <color theme="1"/>
        <rFont val="ＭＳ Ｐゴシック"/>
        <family val="3"/>
        <charset val="134"/>
        <scheme val="minor"/>
      </rPr>
      <t>类</t>
    </r>
    <r>
      <rPr>
        <sz val="11"/>
        <color theme="1"/>
        <rFont val="ＭＳ Ｐゴシック"/>
        <family val="3"/>
        <charset val="128"/>
        <scheme val="minor"/>
      </rPr>
      <t>供</t>
    </r>
    <r>
      <rPr>
        <sz val="11"/>
        <color theme="1"/>
        <rFont val="ＭＳ Ｐゴシック"/>
        <family val="3"/>
        <charset val="134"/>
        <scheme val="minor"/>
      </rPr>
      <t>应链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</si>
  <si>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 xml:space="preserve">果酒; 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伏特加酒; 甜酒; 烈酒; 白酒; 白干酒（中国白酒）;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葡萄酒</t>
    </r>
  </si>
  <si>
    <r>
      <t>果</t>
    </r>
    <r>
      <rPr>
        <sz val="11"/>
        <color theme="1"/>
        <rFont val="ＭＳ Ｐゴシック"/>
        <family val="3"/>
        <charset val="129"/>
        <scheme val="minor"/>
      </rPr>
      <t>嗨嗨</t>
    </r>
  </si>
  <si>
    <r>
      <t>天津交个朋友酒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</si>
  <si>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利口酒;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威士忌; 伏特加酒;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</si>
  <si>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坤台</t>
    </r>
    <r>
      <rPr>
        <sz val="11"/>
        <color theme="1"/>
        <rFont val="ＭＳ Ｐゴシック"/>
        <family val="3"/>
        <charset val="134"/>
        <scheme val="minor"/>
      </rPr>
      <t>龙腾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</si>
  <si>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市郭太傅酒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</si>
  <si>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利口酒;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汽酒; 葡萄酒</t>
    </r>
  </si>
  <si>
    <r>
      <t>中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潭</t>
    </r>
  </si>
  <si>
    <r>
      <t>惠</t>
    </r>
    <r>
      <rPr>
        <sz val="11"/>
        <color theme="1"/>
        <rFont val="ＭＳ Ｐゴシック"/>
        <family val="3"/>
        <charset val="134"/>
        <scheme val="minor"/>
      </rPr>
      <t>东县</t>
    </r>
    <r>
      <rPr>
        <sz val="11"/>
        <color theme="1"/>
        <rFont val="ＭＳ Ｐゴシック"/>
        <family val="3"/>
        <charset val="128"/>
        <scheme val="minor"/>
      </rPr>
      <t>平山南草</t>
    </r>
    <r>
      <rPr>
        <sz val="11"/>
        <color theme="1"/>
        <rFont val="ＭＳ Ｐゴシック"/>
        <family val="3"/>
        <charset val="134"/>
        <scheme val="minor"/>
      </rPr>
      <t>鱼贸</t>
    </r>
    <r>
      <rPr>
        <sz val="11"/>
        <color theme="1"/>
        <rFont val="ＭＳ Ｐゴシック"/>
        <family val="3"/>
        <charset val="128"/>
        <scheme val="minor"/>
      </rPr>
      <t>易商行</t>
    </r>
  </si>
  <si>
    <r>
      <t>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高粱酒; 白酒; 青稞酒; 开胃酒; 葡萄酒; 果酒; 青梅酒; 清酒; 露酒</t>
    </r>
  </si>
  <si>
    <t>中初科技</t>
  </si>
  <si>
    <r>
      <t>陈</t>
    </r>
    <r>
      <rPr>
        <sz val="11"/>
        <color theme="1"/>
        <rFont val="ＭＳ Ｐゴシック"/>
        <family val="3"/>
        <charset val="128"/>
        <scheme val="minor"/>
      </rPr>
      <t>玉姝</t>
    </r>
  </si>
  <si>
    <r>
      <t xml:space="preserve">果酒（含酒精）; 葡萄酒; 白酒; 开胃酒;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</si>
  <si>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渔</t>
    </r>
    <r>
      <rPr>
        <sz val="11"/>
        <color theme="1"/>
        <rFont val="ＭＳ Ｐゴシック"/>
        <family val="3"/>
        <charset val="128"/>
        <scheme val="minor"/>
      </rPr>
      <t>儿回涉</t>
    </r>
  </si>
  <si>
    <r>
      <t>濮阳</t>
    </r>
    <r>
      <rPr>
        <sz val="11"/>
        <color theme="1"/>
        <rFont val="ＭＳ Ｐゴシック"/>
        <family val="3"/>
        <charset val="134"/>
        <scheme val="minor"/>
      </rPr>
      <t>县乐</t>
    </r>
    <r>
      <rPr>
        <sz val="11"/>
        <color theme="1"/>
        <rFont val="ＭＳ Ｐゴシック"/>
        <family val="3"/>
        <charset val="128"/>
        <scheme val="minor"/>
      </rPr>
      <t>佳商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</si>
  <si>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利口酒; 米酒; 白酒; 高粱酒;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果酒; 清酒; 开胃酒; 青稞酒</t>
    </r>
  </si>
  <si>
    <r>
      <t>喜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捷</t>
    </r>
  </si>
  <si>
    <r>
      <t>汤</t>
    </r>
    <r>
      <rPr>
        <sz val="11"/>
        <color theme="1"/>
        <rFont val="ＭＳ Ｐゴシック"/>
        <family val="3"/>
        <charset val="128"/>
        <scheme val="minor"/>
      </rPr>
      <t>露</t>
    </r>
  </si>
  <si>
    <r>
      <t>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梅酒; 开胃酒; 高粱酒; 果酒（含酒精）;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白酒</t>
    </r>
  </si>
  <si>
    <t>拾沙</t>
  </si>
  <si>
    <r>
      <t>张</t>
    </r>
    <r>
      <rPr>
        <sz val="11"/>
        <color theme="1"/>
        <rFont val="ＭＳ Ｐゴシック"/>
        <family val="3"/>
        <charset val="128"/>
        <scheme val="minor"/>
      </rPr>
      <t>倩</t>
    </r>
  </si>
  <si>
    <r>
      <t>果酒（含酒精）; 开胃酒;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白干酒（中国白酒）;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伏特加酒; 黄酒; 白酒; 米酒</t>
    </r>
  </si>
  <si>
    <t>昭友</t>
  </si>
  <si>
    <t>刘金涛</t>
  </si>
  <si>
    <r>
      <t>果酒（含酒精）; 葡萄酒; 米酒;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>酒; 汽酒;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高粱酒;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</si>
  <si>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t>芯能康</t>
  </si>
  <si>
    <r>
      <t>广州普生家族企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</si>
  <si>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甜酒; 果酒;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黄酒; 白酒; 米酒; 食用酒精;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威士忌</t>
    </r>
  </si>
  <si>
    <t>藏仙御</t>
  </si>
  <si>
    <r>
      <t>邓</t>
    </r>
    <r>
      <rPr>
        <sz val="11"/>
        <color theme="1"/>
        <rFont val="ＭＳ Ｐゴシック"/>
        <family val="3"/>
        <charset val="128"/>
        <scheme val="minor"/>
      </rPr>
      <t>毓淑</t>
    </r>
  </si>
  <si>
    <r>
      <t>米酒; 葡萄酒; 果酒（含酒精）; 白酒; 开胃酒; 威士忌;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清酒（日本米酒）</t>
    </r>
  </si>
  <si>
    <r>
      <t>功</t>
    </r>
    <r>
      <rPr>
        <sz val="11"/>
        <color theme="1"/>
        <rFont val="ＭＳ Ｐゴシック"/>
        <family val="3"/>
        <charset val="134"/>
        <scheme val="minor"/>
      </rPr>
      <t>赢</t>
    </r>
    <r>
      <rPr>
        <sz val="11"/>
        <color theme="1"/>
        <rFont val="ＭＳ Ｐゴシック"/>
        <family val="3"/>
        <charset val="128"/>
        <scheme val="minor"/>
      </rPr>
      <t>紫陶坊</t>
    </r>
  </si>
  <si>
    <r>
      <t xml:space="preserve">果酒（含酒精）;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食用酒精;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</si>
  <si>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青壹德</t>
  </si>
  <si>
    <r>
      <t>赵</t>
    </r>
    <r>
      <rPr>
        <sz val="11"/>
        <color theme="1"/>
        <rFont val="ＭＳ Ｐゴシック"/>
        <family val="3"/>
        <charset val="128"/>
        <scheme val="minor"/>
      </rPr>
      <t>廷才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</si>
  <si>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黄酒;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薄荷酒; 威士忌;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果酒（含酒精）</t>
    </r>
  </si>
  <si>
    <r>
      <t>炑</t>
    </r>
    <r>
      <rPr>
        <sz val="11"/>
        <color theme="1"/>
        <rFont val="ＭＳ Ｐゴシック"/>
        <family val="3"/>
        <charset val="128"/>
        <scheme val="minor"/>
      </rPr>
      <t>昰好</t>
    </r>
  </si>
  <si>
    <r>
      <t>董</t>
    </r>
    <r>
      <rPr>
        <sz val="11"/>
        <color theme="1"/>
        <rFont val="ＭＳ Ｐゴシック"/>
        <family val="3"/>
        <charset val="134"/>
        <scheme val="minor"/>
      </rPr>
      <t>谨</t>
    </r>
    <r>
      <rPr>
        <sz val="11"/>
        <color theme="1"/>
        <rFont val="ＭＳ Ｐゴシック"/>
        <family val="3"/>
        <charset val="128"/>
        <scheme val="minor"/>
      </rPr>
      <t>豪</t>
    </r>
  </si>
  <si>
    <r>
      <t xml:space="preserve">米酒;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餐后酒（利口酒和烈酒）; 烈酒; 葡萄酒; 果酒; 高粱酒</t>
    </r>
  </si>
  <si>
    <t>杭杭有味</t>
  </si>
  <si>
    <t>杭州杭味儿食品有限公司</t>
  </si>
  <si>
    <r>
      <t>葡萄酒; 米酒;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威士忌</t>
    </r>
  </si>
  <si>
    <r>
      <t>晓</t>
    </r>
    <r>
      <rPr>
        <sz val="11"/>
        <color theme="1"/>
        <rFont val="ＭＳ Ｐゴシック"/>
        <family val="3"/>
        <charset val="128"/>
        <scheme val="minor"/>
      </rPr>
      <t>谷</t>
    </r>
    <r>
      <rPr>
        <sz val="11"/>
        <color theme="1"/>
        <rFont val="ＭＳ Ｐゴシック"/>
        <family val="3"/>
        <charset val="129"/>
        <scheme val="minor"/>
      </rPr>
      <t>滘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</si>
  <si>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开胃酒; 葡萄酒; 食用酒精; 米酒</t>
    </r>
  </si>
  <si>
    <r>
      <t>弘阳</t>
    </r>
    <r>
      <rPr>
        <sz val="11"/>
        <color theme="1"/>
        <rFont val="ＭＳ Ｐゴシック"/>
        <family val="3"/>
        <charset val="134"/>
        <scheme val="minor"/>
      </rPr>
      <t>劲贡</t>
    </r>
  </si>
  <si>
    <r>
      <t>余</t>
    </r>
    <r>
      <rPr>
        <sz val="11"/>
        <color theme="1"/>
        <rFont val="ＭＳ Ｐゴシック"/>
        <family val="3"/>
        <charset val="134"/>
        <scheme val="minor"/>
      </rPr>
      <t>诗谣</t>
    </r>
  </si>
  <si>
    <r>
      <t xml:space="preserve">威士忌;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米酒; 葡萄酒;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伏特加酒;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</si>
  <si>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陇</t>
    </r>
    <r>
      <rPr>
        <sz val="11"/>
        <color theme="1"/>
        <rFont val="ＭＳ Ｐゴシック"/>
        <family val="3"/>
        <charset val="128"/>
        <scheme val="minor"/>
      </rPr>
      <t>小仙</t>
    </r>
  </si>
  <si>
    <r>
      <t>谷道香田（甘</t>
    </r>
    <r>
      <rPr>
        <sz val="11"/>
        <color theme="1"/>
        <rFont val="ＭＳ Ｐゴシック"/>
        <family val="3"/>
        <charset val="134"/>
        <scheme val="minor"/>
      </rPr>
      <t>肃</t>
    </r>
    <r>
      <rPr>
        <sz val="11"/>
        <color theme="1"/>
        <rFont val="ＭＳ Ｐゴシック"/>
        <family val="3"/>
        <charset val="128"/>
        <scheme val="minor"/>
      </rPr>
      <t>）食品有限公司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</si>
  <si>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果酒（含酒精）; 葡萄酒; 开胃酒;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苹果酒;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</si>
  <si>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启</t>
    </r>
    <r>
      <rPr>
        <sz val="11"/>
        <color theme="1"/>
        <rFont val="ＭＳ Ｐゴシック"/>
        <family val="3"/>
        <charset val="134"/>
        <scheme val="minor"/>
      </rPr>
      <t>贵</t>
    </r>
    <r>
      <rPr>
        <sz val="11"/>
        <color theme="1"/>
        <rFont val="ＭＳ Ｐゴシック"/>
        <family val="3"/>
        <charset val="128"/>
        <scheme val="minor"/>
      </rPr>
      <t>运</t>
    </r>
  </si>
  <si>
    <r>
      <t>黄酒; 利口酒;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</t>
    </r>
  </si>
  <si>
    <r>
      <t>笑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醉梦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</si>
  <si>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州友泰黔源文化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媒有限公司</t>
    </r>
  </si>
  <si>
    <r>
      <t>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汽酒;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利口酒;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</si>
  <si>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高士达</t>
  </si>
  <si>
    <t>上海高士达新材料有限公司</t>
  </si>
  <si>
    <r>
      <t>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白酒;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威士忌</t>
    </r>
  </si>
  <si>
    <r>
      <t>冰城</t>
    </r>
    <r>
      <rPr>
        <sz val="11"/>
        <color theme="1"/>
        <rFont val="ＭＳ Ｐゴシック"/>
        <family val="3"/>
        <charset val="134"/>
        <scheme val="minor"/>
      </rPr>
      <t>龙</t>
    </r>
  </si>
  <si>
    <t>袁士忠</t>
  </si>
  <si>
    <r>
      <t>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葡萄酒; 开胃酒; 茴芹酒（利口酒）; 食用酒精; 果酒（含酒精）; 蒸煮提取物（利口酒和烈酒）;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</si>
  <si>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劲迈</t>
  </si>
  <si>
    <r>
      <t xml:space="preserve">威士忌; 果酒（含酒精）; 白酒;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伏特加酒;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</si>
  <si>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TA</t>
  </si>
  <si>
    <r>
      <t>浙江一秒服</t>
    </r>
    <r>
      <rPr>
        <sz val="11"/>
        <color theme="1"/>
        <rFont val="ＭＳ Ｐゴシック"/>
        <family val="3"/>
        <charset val="134"/>
        <scheme val="minor"/>
      </rPr>
      <t>饰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</si>
  <si>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开胃酒; 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利口酒;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</si>
  <si>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天医灵元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</si>
  <si>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弈百年茶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</si>
  <si>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食用酒精;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黄酒; 白酒</t>
    </r>
  </si>
  <si>
    <r>
      <t>凯</t>
    </r>
    <r>
      <rPr>
        <sz val="11"/>
        <color theme="1"/>
        <rFont val="ＭＳ Ｐゴシック"/>
        <family val="3"/>
        <charset val="128"/>
        <scheme val="minor"/>
      </rPr>
      <t>撒侠</t>
    </r>
  </si>
  <si>
    <t>杜海春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</si>
  <si>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汽酒; 黄酒; 果酒;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佐餐酒; 白酒; 葡萄酒; 白干酒（中国白酒）; 米酒</t>
    </r>
  </si>
  <si>
    <t>元御仙</t>
  </si>
  <si>
    <r>
      <t>邓</t>
    </r>
    <r>
      <rPr>
        <sz val="11"/>
        <color theme="1"/>
        <rFont val="ＭＳ Ｐゴシック"/>
        <family val="3"/>
        <charset val="128"/>
        <scheme val="minor"/>
      </rPr>
      <t>芳萍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</si>
  <si>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开胃酒;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威士忌; 黄酒; 清酒（日本米酒）; 米酒; 葡萄酒</t>
    </r>
  </si>
  <si>
    <r>
      <t>多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彩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</si>
  <si>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州衡毅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坊酒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</si>
  <si>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开胃酒;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蒸煮提取物（利口酒和烈酒）; 黄酒; 葡萄酒;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米酒; 汽酒</t>
    </r>
  </si>
  <si>
    <r>
      <t>龙</t>
    </r>
    <r>
      <rPr>
        <sz val="11"/>
        <color theme="1"/>
        <rFont val="ＭＳ Ｐゴシック"/>
        <family val="3"/>
        <charset val="128"/>
        <scheme val="minor"/>
      </rPr>
      <t>生河</t>
    </r>
  </si>
  <si>
    <r>
      <t>北京祥和</t>
    </r>
    <r>
      <rPr>
        <sz val="11"/>
        <color theme="1"/>
        <rFont val="ＭＳ Ｐゴシック"/>
        <family val="3"/>
        <charset val="134"/>
        <scheme val="minor"/>
      </rPr>
      <t>靓</t>
    </r>
    <r>
      <rPr>
        <sz val="11"/>
        <color theme="1"/>
        <rFont val="ＭＳ Ｐゴシック"/>
        <family val="3"/>
        <charset val="128"/>
        <scheme val="minor"/>
      </rPr>
      <t>佳健康管理有限公司</t>
    </r>
  </si>
  <si>
    <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米酒;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清酒; 威士忌</t>
    </r>
  </si>
  <si>
    <r>
      <t>解</t>
    </r>
    <r>
      <rPr>
        <sz val="11"/>
        <color theme="1"/>
        <rFont val="ＭＳ Ｐゴシック"/>
        <family val="3"/>
        <charset val="134"/>
        <scheme val="minor"/>
      </rPr>
      <t>馋</t>
    </r>
    <r>
      <rPr>
        <sz val="11"/>
        <color theme="1"/>
        <rFont val="ＭＳ Ｐゴシック"/>
        <family val="3"/>
        <charset val="128"/>
        <scheme val="minor"/>
      </rPr>
      <t>侠</t>
    </r>
  </si>
  <si>
    <r>
      <t>西咸新区空港新城南特月百</t>
    </r>
    <r>
      <rPr>
        <sz val="11"/>
        <color theme="1"/>
        <rFont val="ＭＳ Ｐゴシック"/>
        <family val="3"/>
        <charset val="134"/>
        <scheme val="minor"/>
      </rPr>
      <t>货</t>
    </r>
    <r>
      <rPr>
        <sz val="11"/>
        <color theme="1"/>
        <rFont val="ＭＳ Ｐゴシック"/>
        <family val="3"/>
        <charset val="128"/>
        <scheme val="minor"/>
      </rPr>
      <t>店（个体工商</t>
    </r>
    <r>
      <rPr>
        <sz val="11"/>
        <color theme="1"/>
        <rFont val="ＭＳ Ｐゴシック"/>
        <family val="3"/>
        <charset val="134"/>
        <scheme val="minor"/>
      </rPr>
      <t>户</t>
    </r>
    <r>
      <rPr>
        <sz val="11"/>
        <color theme="1"/>
        <rFont val="ＭＳ Ｐゴシック"/>
        <family val="3"/>
        <charset val="128"/>
        <scheme val="minor"/>
      </rPr>
      <t>）</t>
    </r>
  </si>
  <si>
    <t>清酒; 白酒; 葡萄酒; 汽酒; 米酒; 食用酒精; 黄酒; 开胃酒; 果酒; 甜酒</t>
  </si>
  <si>
    <t>老塘中</t>
  </si>
  <si>
    <r>
      <t>戴文</t>
    </r>
    <r>
      <rPr>
        <sz val="11"/>
        <color theme="1"/>
        <rFont val="ＭＳ Ｐゴシック"/>
        <family val="3"/>
        <charset val="134"/>
        <scheme val="minor"/>
      </rPr>
      <t>锋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</si>
  <si>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清酒（日本米酒）;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黄酒; 果酒（含酒精）; 威士忌</t>
    </r>
  </si>
  <si>
    <r>
      <t>五色</t>
    </r>
    <r>
      <rPr>
        <sz val="11"/>
        <color theme="1"/>
        <rFont val="ＭＳ Ｐゴシック"/>
        <family val="3"/>
        <charset val="134"/>
        <scheme val="minor"/>
      </rPr>
      <t>浔浔</t>
    </r>
    <r>
      <rPr>
        <sz val="11"/>
        <color theme="1"/>
        <rFont val="ＭＳ Ｐゴシック"/>
        <family val="3"/>
        <charset val="128"/>
        <scheme val="minor"/>
      </rPr>
      <t>仁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</si>
  <si>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34"/>
        <scheme val="minor"/>
      </rPr>
      <t>浔</t>
    </r>
    <r>
      <rPr>
        <sz val="11"/>
        <color theme="1"/>
        <rFont val="ＭＳ Ｐゴシック"/>
        <family val="3"/>
        <charset val="128"/>
        <scheme val="minor"/>
      </rPr>
      <t>源酒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</si>
  <si>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t>米酒; 果酒（含酒精）; 葡萄酒; 白酒</t>
  </si>
  <si>
    <r>
      <t>渥阳</t>
    </r>
    <r>
      <rPr>
        <sz val="11"/>
        <color theme="1"/>
        <rFont val="ＭＳ Ｐゴシック"/>
        <family val="3"/>
        <charset val="129"/>
        <scheme val="minor"/>
      </rPr>
      <t>箈</t>
    </r>
  </si>
  <si>
    <r>
      <t>内蒙古蒙醇源酒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</si>
  <si>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果酒;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食用酒精;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</si>
  <si>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龚</t>
    </r>
    <r>
      <rPr>
        <sz val="11"/>
        <color theme="1"/>
        <rFont val="ＭＳ Ｐゴシック"/>
        <family val="3"/>
        <charset val="128"/>
        <scheme val="minor"/>
      </rPr>
      <t>泉</t>
    </r>
  </si>
  <si>
    <r>
      <t>平南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大安</t>
    </r>
    <r>
      <rPr>
        <sz val="11"/>
        <color theme="1"/>
        <rFont val="ＭＳ Ｐゴシック"/>
        <family val="3"/>
        <charset val="134"/>
        <scheme val="minor"/>
      </rPr>
      <t>镇</t>
    </r>
    <r>
      <rPr>
        <sz val="11"/>
        <color theme="1"/>
        <rFont val="ＭＳ Ｐゴシック"/>
        <family val="3"/>
        <charset val="128"/>
        <scheme val="minor"/>
      </rPr>
      <t>君度酒坊</t>
    </r>
  </si>
  <si>
    <r>
      <t xml:space="preserve">果酒;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梅酒; 以蒸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主的开胃酒; 白酒; 米酒;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青梅酒</t>
    </r>
  </si>
  <si>
    <r>
      <t>清</t>
    </r>
    <r>
      <rPr>
        <sz val="11"/>
        <color theme="1"/>
        <rFont val="ＭＳ Ｐゴシック"/>
        <family val="3"/>
        <charset val="134"/>
        <scheme val="minor"/>
      </rPr>
      <t>蕴</t>
    </r>
    <r>
      <rPr>
        <sz val="11"/>
        <color theme="1"/>
        <rFont val="ＭＳ Ｐゴシック"/>
        <family val="3"/>
        <charset val="128"/>
        <scheme val="minor"/>
      </rPr>
      <t>紫陶坊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</si>
  <si>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34"/>
        <scheme val="minor"/>
      </rPr>
      <t>贵</t>
    </r>
    <r>
      <rPr>
        <sz val="11"/>
        <color theme="1"/>
        <rFont val="ＭＳ Ｐゴシック"/>
        <family val="3"/>
        <charset val="128"/>
        <scheme val="minor"/>
      </rPr>
      <t>陶坊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酒有限公司</t>
    </r>
  </si>
  <si>
    <r>
      <t xml:space="preserve">米酒; 食用酒精;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清酒（日本米酒）; 果酒（含酒精）; 白酒</t>
    </r>
  </si>
  <si>
    <t>洪洲青王果</t>
  </si>
  <si>
    <r>
      <t>辉县</t>
    </r>
    <r>
      <rPr>
        <sz val="11"/>
        <color theme="1"/>
        <rFont val="ＭＳ Ｐゴシック"/>
        <family val="3"/>
        <charset val="128"/>
        <scheme val="minor"/>
      </rPr>
      <t>市</t>
    </r>
    <r>
      <rPr>
        <sz val="11"/>
        <color theme="1"/>
        <rFont val="ＭＳ Ｐゴシック"/>
        <family val="3"/>
        <charset val="134"/>
        <scheme val="minor"/>
      </rPr>
      <t>龙飞</t>
    </r>
    <r>
      <rPr>
        <sz val="11"/>
        <color theme="1"/>
        <rFont val="ＭＳ Ｐゴシック"/>
        <family val="3"/>
        <charset val="128"/>
        <scheme val="minor"/>
      </rPr>
      <t>种植</t>
    </r>
    <r>
      <rPr>
        <sz val="11"/>
        <color theme="1"/>
        <rFont val="ＭＳ Ｐゴシック"/>
        <family val="3"/>
        <charset val="134"/>
        <scheme val="minor"/>
      </rPr>
      <t>专业</t>
    </r>
    <r>
      <rPr>
        <sz val="11"/>
        <color theme="1"/>
        <rFont val="ＭＳ Ｐゴシック"/>
        <family val="3"/>
        <charset val="128"/>
        <scheme val="minor"/>
      </rPr>
      <t>合作社</t>
    </r>
  </si>
  <si>
    <r>
      <t>果酒（含酒精）;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利口酒;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米酒; 黄酒; 白酒</t>
    </r>
  </si>
  <si>
    <r>
      <t>天</t>
    </r>
    <r>
      <rPr>
        <sz val="11"/>
        <color theme="1"/>
        <rFont val="ＭＳ Ｐゴシック"/>
        <family val="3"/>
        <charset val="134"/>
        <scheme val="minor"/>
      </rPr>
      <t>赐谭</t>
    </r>
  </si>
  <si>
    <r>
      <t>李</t>
    </r>
    <r>
      <rPr>
        <sz val="11"/>
        <color theme="1"/>
        <rFont val="ＭＳ Ｐゴシック"/>
        <family val="3"/>
        <charset val="134"/>
        <scheme val="minor"/>
      </rPr>
      <t>红</t>
    </r>
  </si>
  <si>
    <r>
      <t>白干酒（中国白酒）; 米酒; 高粱酒;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白酒</t>
    </r>
  </si>
  <si>
    <t>易草圣方</t>
  </si>
  <si>
    <r>
      <t>张</t>
    </r>
    <r>
      <rPr>
        <sz val="11"/>
        <color theme="1"/>
        <rFont val="ＭＳ Ｐゴシック"/>
        <family val="3"/>
        <charset val="128"/>
        <scheme val="minor"/>
      </rPr>
      <t>宁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</si>
  <si>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开胃酒; 果酒（含酒精）; 黄酒;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</t>
    </r>
  </si>
  <si>
    <t>仟宏潭</t>
  </si>
  <si>
    <r>
      <t>河南国臻</t>
    </r>
    <r>
      <rPr>
        <sz val="11"/>
        <color theme="1"/>
        <rFont val="ＭＳ Ｐゴシック"/>
        <family val="3"/>
        <charset val="134"/>
        <scheme val="minor"/>
      </rPr>
      <t>实业发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</si>
  <si>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米酒; 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黄酒;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食用酒精; 果酒（含酒精）</t>
    </r>
  </si>
  <si>
    <r>
      <t>冯</t>
    </r>
    <r>
      <rPr>
        <sz val="11"/>
        <color theme="1"/>
        <rFont val="ＭＳ Ｐゴシック"/>
        <family val="3"/>
        <charset val="128"/>
        <scheme val="minor"/>
      </rPr>
      <t>李</t>
    </r>
  </si>
  <si>
    <r>
      <t>中丰投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控股（广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）有限公司</t>
    </r>
  </si>
  <si>
    <r>
      <t xml:space="preserve">果酒（含酒精）; 开胃酒; 米酒; 清酒（日本米酒）;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青稞酒; 白酒; 葡萄酒; 伏特加酒</t>
    </r>
  </si>
  <si>
    <r>
      <t>程</t>
    </r>
    <r>
      <rPr>
        <sz val="11"/>
        <color theme="1"/>
        <rFont val="ＭＳ Ｐゴシック"/>
        <family val="3"/>
        <charset val="134"/>
        <scheme val="minor"/>
      </rPr>
      <t>润龙</t>
    </r>
    <r>
      <rPr>
        <sz val="11"/>
        <color theme="1"/>
        <rFont val="ＭＳ Ｐゴシック"/>
        <family val="3"/>
        <charset val="128"/>
        <scheme val="minor"/>
      </rPr>
      <t>酒珍品</t>
    </r>
  </si>
  <si>
    <r>
      <t>利口酒;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果酒（含酒精）;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葡萄酒; 米酒; 开胃酒; 清酒（日本米酒）; 白酒</t>
    </r>
  </si>
  <si>
    <r>
      <t>明医</t>
    </r>
    <r>
      <rPr>
        <sz val="11"/>
        <color theme="1"/>
        <rFont val="ＭＳ Ｐゴシック"/>
        <family val="3"/>
        <charset val="134"/>
        <scheme val="minor"/>
      </rPr>
      <t>时</t>
    </r>
    <r>
      <rPr>
        <sz val="11"/>
        <color theme="1"/>
        <rFont val="ＭＳ Ｐゴシック"/>
        <family val="3"/>
        <charset val="128"/>
        <scheme val="minor"/>
      </rPr>
      <t>珍</t>
    </r>
  </si>
  <si>
    <r>
      <t>杨</t>
    </r>
    <r>
      <rPr>
        <sz val="11"/>
        <color theme="1"/>
        <rFont val="ＭＳ Ｐゴシック"/>
        <family val="3"/>
        <charset val="128"/>
        <scheme val="minor"/>
      </rPr>
      <t>粉</t>
    </r>
  </si>
  <si>
    <t>果酒; 葡萄酒; 食用酒精; 白酒; 黄酒; 甜酒; 开胃酒; 清酒; 米酒; 汽酒</t>
  </si>
  <si>
    <t>FUNSHARE AROMA</t>
  </si>
  <si>
    <r>
      <t>宁夏酒</t>
    </r>
    <r>
      <rPr>
        <sz val="11"/>
        <color theme="1"/>
        <rFont val="ＭＳ Ｐゴシック"/>
        <family val="3"/>
        <charset val="134"/>
        <scheme val="minor"/>
      </rPr>
      <t>农时</t>
    </r>
    <r>
      <rPr>
        <sz val="11"/>
        <color theme="1"/>
        <rFont val="ＭＳ Ｐゴシック"/>
        <family val="3"/>
        <charset val="128"/>
        <scheme val="minor"/>
      </rPr>
      <t>代国</t>
    </r>
    <r>
      <rPr>
        <sz val="11"/>
        <color theme="1"/>
        <rFont val="ＭＳ Ｐゴシック"/>
        <family val="3"/>
        <charset val="134"/>
        <scheme val="minor"/>
      </rPr>
      <t>际贸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</si>
  <si>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 xml:space="preserve">果酒;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桃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葡萄酒; 甜酒;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主的开胃酒; 白葡萄酒</t>
    </r>
  </si>
  <si>
    <t>地佑福</t>
  </si>
  <si>
    <r>
      <t>遵</t>
    </r>
    <r>
      <rPr>
        <sz val="11"/>
        <color theme="1"/>
        <rFont val="ＭＳ Ｐゴシック"/>
        <family val="3"/>
        <charset val="134"/>
        <scheme val="minor"/>
      </rPr>
      <t>义</t>
    </r>
    <r>
      <rPr>
        <sz val="11"/>
        <color theme="1"/>
        <rFont val="ＭＳ Ｐゴシック"/>
        <family val="3"/>
        <charset val="128"/>
        <scheme val="minor"/>
      </rPr>
      <t>市</t>
    </r>
    <r>
      <rPr>
        <sz val="11"/>
        <color theme="1"/>
        <rFont val="ＭＳ Ｐゴシック"/>
        <family val="3"/>
        <charset val="134"/>
        <scheme val="minor"/>
      </rPr>
      <t>诚</t>
    </r>
    <r>
      <rPr>
        <sz val="11"/>
        <color theme="1"/>
        <rFont val="ＭＳ Ｐゴシック"/>
        <family val="3"/>
        <charset val="128"/>
        <scheme val="minor"/>
      </rPr>
      <t>安医</t>
    </r>
    <r>
      <rPr>
        <sz val="11"/>
        <color theme="1"/>
        <rFont val="ＭＳ Ｐゴシック"/>
        <family val="3"/>
        <charset val="134"/>
        <scheme val="minor"/>
      </rPr>
      <t>疗</t>
    </r>
    <r>
      <rPr>
        <sz val="11"/>
        <color theme="1"/>
        <rFont val="ＭＳ Ｐゴシック"/>
        <family val="3"/>
        <charset val="128"/>
        <scheme val="minor"/>
      </rPr>
      <t>器械有限公司</t>
    </r>
  </si>
  <si>
    <r>
      <t>青稞酒;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果酒（含酒精）; 餐后酒（利口酒和烈酒）; 葡萄酒; 黄酒; 蜂蜜酒</t>
    </r>
  </si>
  <si>
    <t>Q*J</t>
  </si>
  <si>
    <r>
      <t>济</t>
    </r>
    <r>
      <rPr>
        <sz val="11"/>
        <color theme="1"/>
        <rFont val="ＭＳ Ｐゴシック"/>
        <family val="3"/>
        <charset val="128"/>
        <scheme val="minor"/>
      </rPr>
      <t>南天</t>
    </r>
    <r>
      <rPr>
        <sz val="11"/>
        <color theme="1"/>
        <rFont val="ＭＳ Ｐゴシック"/>
        <family val="3"/>
        <charset val="134"/>
        <scheme val="minor"/>
      </rPr>
      <t>桥</t>
    </r>
    <r>
      <rPr>
        <sz val="11"/>
        <color theme="1"/>
        <rFont val="ＭＳ Ｐゴシック"/>
        <family val="3"/>
        <charset val="128"/>
        <scheme val="minor"/>
      </rPr>
      <t>微运</t>
    </r>
    <r>
      <rPr>
        <sz val="11"/>
        <color theme="1"/>
        <rFont val="ＭＳ Ｐゴシック"/>
        <family val="3"/>
        <charset val="134"/>
        <scheme val="minor"/>
      </rPr>
      <t>农</t>
    </r>
    <r>
      <rPr>
        <sz val="11"/>
        <color theme="1"/>
        <rFont val="ＭＳ Ｐゴシック"/>
        <family val="3"/>
        <charset val="128"/>
        <scheme val="minor"/>
      </rPr>
      <t>副</t>
    </r>
    <r>
      <rPr>
        <sz val="11"/>
        <color theme="1"/>
        <rFont val="ＭＳ Ｐゴシック"/>
        <family val="3"/>
        <charset val="134"/>
        <scheme val="minor"/>
      </rPr>
      <t>产</t>
    </r>
    <r>
      <rPr>
        <sz val="11"/>
        <color theme="1"/>
        <rFont val="ＭＳ Ｐゴシック"/>
        <family val="3"/>
        <charset val="128"/>
        <scheme val="minor"/>
      </rPr>
      <t>品</t>
    </r>
    <r>
      <rPr>
        <sz val="11"/>
        <color theme="1"/>
        <rFont val="ＭＳ Ｐゴシック"/>
        <family val="3"/>
        <charset val="134"/>
        <scheme val="minor"/>
      </rPr>
      <t>经营</t>
    </r>
    <r>
      <rPr>
        <sz val="11"/>
        <color theme="1"/>
        <rFont val="ＭＳ Ｐゴシック"/>
        <family val="3"/>
        <charset val="128"/>
        <scheme val="minor"/>
      </rPr>
      <t>部</t>
    </r>
  </si>
  <si>
    <r>
      <t>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汽酒;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白酒;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</t>
    </r>
  </si>
  <si>
    <r>
      <t>马</t>
    </r>
    <r>
      <rPr>
        <sz val="11"/>
        <color theme="1"/>
        <rFont val="ＭＳ Ｐゴシック"/>
        <family val="3"/>
        <charset val="128"/>
        <scheme val="minor"/>
      </rPr>
      <t>吉拉</t>
    </r>
  </si>
  <si>
    <r>
      <t>黑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江醉美商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</si>
  <si>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利口酒; 葡萄酒; 食用酒精;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汽酒; 开胃酒;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</si>
  <si>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t>CONFIANZA</t>
  </si>
  <si>
    <r>
      <t>深圳市永信酒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</si>
  <si>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葡萄酒; 伏特加酒;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朗姆酒; 果酒（含酒精）</t>
    </r>
  </si>
  <si>
    <r>
      <t>别</t>
    </r>
    <r>
      <rPr>
        <sz val="11"/>
        <color theme="1"/>
        <rFont val="ＭＳ Ｐゴシック"/>
        <family val="3"/>
        <charset val="128"/>
        <scheme val="minor"/>
      </rPr>
      <t>林叔叔</t>
    </r>
  </si>
  <si>
    <t>林耿彬</t>
  </si>
  <si>
    <r>
      <t>食用酒精;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果酒（含酒精）; 汽酒; 清酒（日本米酒）;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</t>
    </r>
  </si>
  <si>
    <r>
      <t>汉</t>
    </r>
    <r>
      <rPr>
        <sz val="11"/>
        <color theme="1"/>
        <rFont val="ＭＳ Ｐゴシック"/>
        <family val="3"/>
        <charset val="128"/>
        <scheme val="minor"/>
      </rPr>
      <t>江武当</t>
    </r>
    <r>
      <rPr>
        <sz val="11"/>
        <color theme="1"/>
        <rFont val="ＭＳ Ｐゴシック"/>
        <family val="3"/>
        <charset val="134"/>
        <scheme val="minor"/>
      </rPr>
      <t>贡</t>
    </r>
  </si>
  <si>
    <r>
      <t>赵</t>
    </r>
    <r>
      <rPr>
        <sz val="11"/>
        <color theme="1"/>
        <rFont val="ＭＳ Ｐゴシック"/>
        <family val="3"/>
        <charset val="128"/>
        <scheme val="minor"/>
      </rPr>
      <t>正</t>
    </r>
    <r>
      <rPr>
        <sz val="11"/>
        <color theme="1"/>
        <rFont val="ＭＳ Ｐゴシック"/>
        <family val="3"/>
        <charset val="134"/>
        <scheme val="minor"/>
      </rPr>
      <t>伟</t>
    </r>
  </si>
  <si>
    <r>
      <t>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高粱酒; 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白酒</t>
    </r>
  </si>
  <si>
    <t>豪品魏</t>
  </si>
  <si>
    <r>
      <t>魏美</t>
    </r>
    <r>
      <rPr>
        <sz val="11"/>
        <color theme="1"/>
        <rFont val="ＭＳ Ｐゴシック"/>
        <family val="3"/>
        <charset val="134"/>
        <scheme val="minor"/>
      </rPr>
      <t>贵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</si>
  <si>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梅酒;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的白酒; 葡萄酒; 食用酒精; 果酒;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梅酒; 米酒</t>
    </r>
  </si>
  <si>
    <r>
      <t>归</t>
    </r>
    <r>
      <rPr>
        <sz val="11"/>
        <color theme="1"/>
        <rFont val="ＭＳ Ｐゴシック"/>
        <family val="3"/>
        <charset val="128"/>
        <scheme val="minor"/>
      </rPr>
      <t>云匠</t>
    </r>
  </si>
  <si>
    <r>
      <t>云南任子豪</t>
    </r>
    <r>
      <rPr>
        <sz val="11"/>
        <color theme="1"/>
        <rFont val="ＭＳ Ｐゴシック"/>
        <family val="3"/>
        <charset val="134"/>
        <scheme val="minor"/>
      </rPr>
      <t>营销</t>
    </r>
    <r>
      <rPr>
        <sz val="11"/>
        <color theme="1"/>
        <rFont val="ＭＳ Ｐゴシック"/>
        <family val="3"/>
        <charset val="128"/>
        <scheme val="minor"/>
      </rPr>
      <t>策划有限公司</t>
    </r>
  </si>
  <si>
    <r>
      <t xml:space="preserve">蒸煮提取物（利口酒和烈酒）; 葡萄酒; 清酒（日本米酒）;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</si>
  <si>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楠竹先生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</si>
  <si>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州滋州古窖酒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</si>
  <si>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米酒; 葡萄酒;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青稞酒; 黄酒; 白酒;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</si>
  <si>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炑</t>
    </r>
    <r>
      <rPr>
        <sz val="11"/>
        <color theme="1"/>
        <rFont val="ＭＳ Ｐゴシック"/>
        <family val="3"/>
        <charset val="128"/>
        <scheme val="minor"/>
      </rPr>
      <t>昰爽</t>
    </r>
  </si>
  <si>
    <r>
      <t>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果酒; 烈酒; 餐后酒（利口酒和烈酒）; 黄酒; 米酒; 白酒; 高粱酒;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</t>
    </r>
  </si>
  <si>
    <r>
      <t>水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潭</t>
    </r>
  </si>
  <si>
    <r>
      <t>青梅酒; 清酒; 开胃酒; 葡萄酒;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青稞酒; 高粱酒; 果酒; 露酒; 白酒</t>
    </r>
  </si>
  <si>
    <t>皇冠先生</t>
  </si>
  <si>
    <r>
      <t>广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移公网</t>
    </r>
    <r>
      <rPr>
        <sz val="11"/>
        <color theme="1"/>
        <rFont val="ＭＳ Ｐゴシック"/>
        <family val="3"/>
        <charset val="134"/>
        <scheme val="minor"/>
      </rPr>
      <t>络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</si>
  <si>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伏特加酒;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</t>
    </r>
  </si>
  <si>
    <r>
      <t xml:space="preserve">玥牌 </t>
    </r>
    <r>
      <rPr>
        <sz val="11"/>
        <color theme="1"/>
        <rFont val="ＭＳ Ｐゴシック"/>
        <family val="3"/>
        <charset val="134"/>
        <scheme val="minor"/>
      </rPr>
      <t>满</t>
    </r>
    <r>
      <rPr>
        <sz val="11"/>
        <color theme="1"/>
        <rFont val="ＭＳ Ｐゴシック"/>
        <family val="3"/>
        <charset val="128"/>
        <scheme val="minor"/>
      </rPr>
      <t>月生</t>
    </r>
    <r>
      <rPr>
        <sz val="11"/>
        <color theme="1"/>
        <rFont val="ＭＳ Ｐゴシック"/>
        <family val="3"/>
        <charset val="134"/>
        <scheme val="minor"/>
      </rPr>
      <t>辉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</si>
  <si>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葡萄酒;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汽酒; 白酒; 米酒; 黄酒; 果酒（含酒精）</t>
    </r>
  </si>
  <si>
    <r>
      <t>榆</t>
    </r>
    <r>
      <rPr>
        <sz val="11"/>
        <color theme="1"/>
        <rFont val="ＭＳ Ｐゴシック"/>
        <family val="3"/>
        <charset val="128"/>
        <scheme val="minor"/>
      </rPr>
      <t>鼎醇</t>
    </r>
  </si>
  <si>
    <r>
      <t>谭</t>
    </r>
    <r>
      <rPr>
        <sz val="11"/>
        <color theme="1"/>
        <rFont val="ＭＳ Ｐゴシック"/>
        <family val="3"/>
        <charset val="128"/>
        <scheme val="minor"/>
      </rPr>
      <t>宇</t>
    </r>
    <r>
      <rPr>
        <sz val="11"/>
        <color theme="1"/>
        <rFont val="ＭＳ Ｐゴシック"/>
        <family val="3"/>
        <charset val="134"/>
        <scheme val="minor"/>
      </rPr>
      <t>东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</si>
  <si>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甘蔗制烈酒; 果酒; 黄酒; 烈酒; 白酒; 葡萄酒; 米酒</t>
    </r>
  </si>
  <si>
    <t>印象溶</t>
  </si>
  <si>
    <r>
      <t>陈</t>
    </r>
    <r>
      <rPr>
        <sz val="11"/>
        <color theme="1"/>
        <rFont val="ＭＳ Ｐゴシック"/>
        <family val="3"/>
        <charset val="128"/>
        <scheme val="minor"/>
      </rPr>
      <t>皓</t>
    </r>
    <r>
      <rPr>
        <sz val="11"/>
        <color theme="1"/>
        <rFont val="ＭＳ Ｐゴシック"/>
        <family val="3"/>
        <charset val="134"/>
        <scheme val="minor"/>
      </rPr>
      <t>轩</t>
    </r>
  </si>
  <si>
    <r>
      <t>白酒; 高粱酒;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烈酒;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果酒; 葡萄酒</t>
    </r>
  </si>
  <si>
    <t>RICH HONOR</t>
  </si>
  <si>
    <r>
      <t>青</t>
    </r>
    <r>
      <rPr>
        <sz val="11"/>
        <color theme="1"/>
        <rFont val="ＭＳ Ｐゴシック"/>
        <family val="3"/>
        <charset val="134"/>
        <scheme val="minor"/>
      </rPr>
      <t>岛汇</t>
    </r>
    <r>
      <rPr>
        <sz val="11"/>
        <color theme="1"/>
        <rFont val="ＭＳ Ｐゴシック"/>
        <family val="3"/>
        <charset val="128"/>
        <scheme val="minor"/>
      </rPr>
      <t>臻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</si>
  <si>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米酒; 葡萄酒; 利口酒; 蜂蜜酒; 开胃酒;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</si>
  <si>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南望天台</t>
  </si>
  <si>
    <r>
      <t>许</t>
    </r>
    <r>
      <rPr>
        <sz val="11"/>
        <color theme="1"/>
        <rFont val="ＭＳ Ｐゴシック"/>
        <family val="3"/>
        <charset val="128"/>
        <scheme val="minor"/>
      </rPr>
      <t>海涵</t>
    </r>
  </si>
  <si>
    <r>
      <t>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果酒; 食用酒精;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葡萄酒; 伏特加酒;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</si>
  <si>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汇</t>
    </r>
    <r>
      <rPr>
        <sz val="11"/>
        <color theme="1"/>
        <rFont val="ＭＳ Ｐゴシック"/>
        <family val="3"/>
        <charset val="128"/>
        <scheme val="minor"/>
      </rPr>
      <t>泯</t>
    </r>
    <r>
      <rPr>
        <sz val="11"/>
        <color theme="1"/>
        <rFont val="ＭＳ Ｐゴシック"/>
        <family val="3"/>
        <charset val="134"/>
        <scheme val="minor"/>
      </rPr>
      <t>陨</t>
    </r>
    <r>
      <rPr>
        <sz val="11"/>
        <color theme="1"/>
        <rFont val="ＭＳ Ｐゴシック"/>
        <family val="3"/>
        <charset val="128"/>
        <scheme val="minor"/>
      </rPr>
      <t>石</t>
    </r>
  </si>
  <si>
    <r>
      <t>保定</t>
    </r>
    <r>
      <rPr>
        <sz val="11"/>
        <color theme="1"/>
        <rFont val="ＭＳ Ｐゴシック"/>
        <family val="3"/>
        <charset val="134"/>
        <scheme val="minor"/>
      </rPr>
      <t>汇</t>
    </r>
    <r>
      <rPr>
        <sz val="11"/>
        <color theme="1"/>
        <rFont val="ＭＳ Ｐゴシック"/>
        <family val="3"/>
        <charset val="128"/>
        <scheme val="minor"/>
      </rPr>
      <t>泯</t>
    </r>
    <r>
      <rPr>
        <sz val="11"/>
        <color theme="1"/>
        <rFont val="ＭＳ Ｐゴシック"/>
        <family val="3"/>
        <charset val="134"/>
        <scheme val="minor"/>
      </rPr>
      <t>陨</t>
    </r>
    <r>
      <rPr>
        <sz val="11"/>
        <color theme="1"/>
        <rFont val="ＭＳ Ｐゴシック"/>
        <family val="3"/>
        <charset val="128"/>
        <scheme val="minor"/>
      </rPr>
      <t>石工</t>
    </r>
    <r>
      <rPr>
        <sz val="11"/>
        <color theme="1"/>
        <rFont val="ＭＳ Ｐゴシック"/>
        <family val="3"/>
        <charset val="134"/>
        <scheme val="minor"/>
      </rPr>
      <t>艺</t>
    </r>
    <r>
      <rPr>
        <sz val="11"/>
        <color theme="1"/>
        <rFont val="ＭＳ Ｐゴシック"/>
        <family val="3"/>
        <charset val="128"/>
        <scheme val="minor"/>
      </rPr>
      <t>品制造有限公司</t>
    </r>
  </si>
  <si>
    <r>
      <t xml:space="preserve">清酒; 青稞酒;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利口酒; 葡萄酒; 开胃酒; 白酒; 果酒; 烈酒</t>
    </r>
  </si>
  <si>
    <r>
      <t>醉花</t>
    </r>
    <r>
      <rPr>
        <sz val="11"/>
        <color theme="1"/>
        <rFont val="ＭＳ Ｐゴシック"/>
        <family val="3"/>
        <charset val="134"/>
        <scheme val="minor"/>
      </rPr>
      <t>问</t>
    </r>
  </si>
  <si>
    <r>
      <t>长</t>
    </r>
    <r>
      <rPr>
        <sz val="11"/>
        <color theme="1"/>
        <rFont val="ＭＳ Ｐゴシック"/>
        <family val="3"/>
        <charset val="128"/>
        <scheme val="minor"/>
      </rPr>
      <t>治市盛世八喜商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</si>
  <si>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白酒; 蒸煮提取物（利口酒和烈酒）; 开胃酒;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白干酒（中国白酒）;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清酒</t>
    </r>
  </si>
  <si>
    <r>
      <t>传</t>
    </r>
    <r>
      <rPr>
        <sz val="11"/>
        <color theme="1"/>
        <rFont val="ＭＳ Ｐゴシック"/>
        <family val="3"/>
        <charset val="128"/>
        <scheme val="minor"/>
      </rPr>
      <t>家</t>
    </r>
    <r>
      <rPr>
        <sz val="11"/>
        <color theme="1"/>
        <rFont val="ＭＳ Ｐゴシック"/>
        <family val="3"/>
        <charset val="134"/>
        <scheme val="minor"/>
      </rPr>
      <t>陈</t>
    </r>
    <r>
      <rPr>
        <sz val="11"/>
        <color theme="1"/>
        <rFont val="ＭＳ Ｐゴシック"/>
        <family val="3"/>
        <charset val="128"/>
        <scheme val="minor"/>
      </rPr>
      <t>美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</si>
  <si>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黄酒; 利口酒;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</si>
  <si>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汉</t>
    </r>
    <r>
      <rPr>
        <sz val="11"/>
        <color theme="1"/>
        <rFont val="ＭＳ Ｐゴシック"/>
        <family val="3"/>
        <charset val="128"/>
        <scheme val="minor"/>
      </rPr>
      <t>圣</t>
    </r>
    <r>
      <rPr>
        <sz val="11"/>
        <color theme="1"/>
        <rFont val="ＭＳ Ｐゴシック"/>
        <family val="3"/>
        <charset val="134"/>
        <scheme val="minor"/>
      </rPr>
      <t>记</t>
    </r>
    <r>
      <rPr>
        <sz val="11"/>
        <color theme="1"/>
        <rFont val="ＭＳ Ｐゴシック"/>
        <family val="3"/>
        <charset val="128"/>
        <scheme val="minor"/>
      </rPr>
      <t>得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</si>
  <si>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州茅台</t>
    </r>
    <r>
      <rPr>
        <sz val="11"/>
        <color theme="1"/>
        <rFont val="ＭＳ Ｐゴシック"/>
        <family val="3"/>
        <charset val="134"/>
        <scheme val="minor"/>
      </rPr>
      <t>镇汉</t>
    </r>
    <r>
      <rPr>
        <sz val="11"/>
        <color theme="1"/>
        <rFont val="ＭＳ Ｐゴシック"/>
        <family val="3"/>
        <charset val="128"/>
        <scheme val="minor"/>
      </rPr>
      <t>圣酒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</si>
  <si>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食用酒精; 高粱酒;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利口酒</t>
    </r>
  </si>
  <si>
    <r>
      <t>暴九</t>
    </r>
    <r>
      <rPr>
        <sz val="11"/>
        <color theme="1"/>
        <rFont val="ＭＳ Ｐゴシック"/>
        <family val="3"/>
        <charset val="134"/>
        <scheme val="minor"/>
      </rPr>
      <t>爷</t>
    </r>
  </si>
  <si>
    <r>
      <t>交城</t>
    </r>
    <r>
      <rPr>
        <sz val="11"/>
        <color theme="1"/>
        <rFont val="ＭＳ Ｐゴシック"/>
        <family val="3"/>
        <charset val="134"/>
        <scheme val="minor"/>
      </rPr>
      <t>县乐</t>
    </r>
    <r>
      <rPr>
        <sz val="11"/>
        <color theme="1"/>
        <rFont val="ＭＳ Ｐゴシック"/>
        <family val="3"/>
        <charset val="128"/>
        <scheme val="minor"/>
      </rPr>
      <t>百盛商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</si>
  <si>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黄酒; 蒸煮提取物（利口酒和烈酒）;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清酒（日本米酒）;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</si>
  <si>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一原得物</t>
  </si>
  <si>
    <t>深圳市牛牛牛科技有限公司</t>
  </si>
  <si>
    <r>
      <t>伏特加酒;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威士忌;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葡萄酒; 黄酒;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朗姆酒</t>
    </r>
  </si>
  <si>
    <r>
      <t>匠</t>
    </r>
    <r>
      <rPr>
        <sz val="11"/>
        <color theme="1"/>
        <rFont val="ＭＳ Ｐゴシック"/>
        <family val="3"/>
        <charset val="134"/>
        <scheme val="minor"/>
      </rPr>
      <t>艺</t>
    </r>
    <r>
      <rPr>
        <sz val="11"/>
        <color theme="1"/>
        <rFont val="ＭＳ Ｐゴシック"/>
        <family val="3"/>
        <charset val="128"/>
        <scheme val="minor"/>
      </rPr>
      <t>非凡</t>
    </r>
  </si>
  <si>
    <r>
      <t>山西古晋酒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</si>
  <si>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果酒（含酒精）; 青稞酒; 米酒;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</si>
  <si>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晋粮</t>
    </r>
    <r>
      <rPr>
        <sz val="11"/>
        <color theme="1"/>
        <rFont val="ＭＳ Ｐゴシック"/>
        <family val="3"/>
        <charset val="134"/>
        <scheme val="minor"/>
      </rPr>
      <t>欢</t>
    </r>
  </si>
  <si>
    <t>汪忠</t>
  </si>
  <si>
    <r>
      <t>白干酒（中国白酒）;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果酒; 葡萄酒; 米酒; 黄酒; 佐餐酒;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汽酒</t>
    </r>
  </si>
  <si>
    <t>嫦娥悦</t>
  </si>
  <si>
    <r>
      <t>世旅旅游开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（武</t>
    </r>
    <r>
      <rPr>
        <sz val="11"/>
        <color theme="1"/>
        <rFont val="ＭＳ Ｐゴシック"/>
        <family val="3"/>
        <charset val="134"/>
        <scheme val="minor"/>
      </rPr>
      <t>汉</t>
    </r>
    <r>
      <rPr>
        <sz val="11"/>
        <color theme="1"/>
        <rFont val="ＭＳ Ｐゴシック"/>
        <family val="3"/>
        <charset val="128"/>
        <scheme val="minor"/>
      </rPr>
      <t>）有限公司</t>
    </r>
  </si>
  <si>
    <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威士忌; 黄酒; 清酒（日本米酒）; 白酒; 果酒（含酒精）; 蜂蜜酒; 米酒</t>
    </r>
  </si>
  <si>
    <t>会吉</t>
  </si>
  <si>
    <t>吉林省会吉生物科技有限公司</t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</si>
  <si>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餐后酒（利口酒和烈酒）; 威士忌; 白酒; 米酒; 食用酒精; 果酒（含酒精）</t>
    </r>
  </si>
  <si>
    <t>檀板金樽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</si>
  <si>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州金樽步步高酒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（集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）有限公司</t>
    </r>
  </si>
  <si>
    <r>
      <t>樱</t>
    </r>
    <r>
      <rPr>
        <sz val="11"/>
        <color theme="1"/>
        <rFont val="ＭＳ Ｐゴシック"/>
        <family val="3"/>
        <charset val="128"/>
        <scheme val="minor"/>
      </rPr>
      <t>桃酒; 黄酒; 柑香酒; 葡萄酒; 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露酒</t>
    </r>
  </si>
  <si>
    <r>
      <t>内蒙古元朝盛世酒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</si>
  <si>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食用酒精; 白酒;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开胃酒; 利口酒; 黄酒; 果酒（含酒精）; 蒸煮提取物（利口酒和烈酒）</t>
    </r>
  </si>
  <si>
    <r>
      <t>万</t>
    </r>
    <r>
      <rPr>
        <sz val="11"/>
        <color theme="1"/>
        <rFont val="ＭＳ Ｐゴシック"/>
        <family val="3"/>
        <charset val="134"/>
        <scheme val="minor"/>
      </rPr>
      <t>岁</t>
    </r>
    <r>
      <rPr>
        <sz val="11"/>
        <color theme="1"/>
        <rFont val="ＭＳ Ｐゴシック"/>
        <family val="3"/>
        <charset val="128"/>
        <scheme val="minor"/>
      </rPr>
      <t>中</t>
    </r>
  </si>
  <si>
    <r>
      <t>李</t>
    </r>
    <r>
      <rPr>
        <sz val="11"/>
        <color theme="1"/>
        <rFont val="ＭＳ Ｐゴシック"/>
        <family val="3"/>
        <charset val="134"/>
        <scheme val="minor"/>
      </rPr>
      <t>兴</t>
    </r>
    <r>
      <rPr>
        <sz val="11"/>
        <color theme="1"/>
        <rFont val="ＭＳ Ｐゴシック"/>
        <family val="3"/>
        <charset val="128"/>
        <scheme val="minor"/>
      </rPr>
      <t>宗</t>
    </r>
  </si>
  <si>
    <r>
      <t>白干酒（中国白酒）;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高粱酒; 米酒;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果酒（含酒精）; 食用酒精; 葡萄酒</t>
    </r>
  </si>
  <si>
    <t>散花多彩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</si>
  <si>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白酒; 米酒; 利口酒;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</t>
    </r>
  </si>
  <si>
    <t>斟如愿 酒</t>
  </si>
  <si>
    <r>
      <t>职</t>
    </r>
    <r>
      <rPr>
        <sz val="11"/>
        <color theme="1"/>
        <rFont val="ＭＳ Ｐゴシック"/>
        <family val="3"/>
        <charset val="128"/>
        <scheme val="minor"/>
      </rPr>
      <t>安健好品源（广州）</t>
    </r>
    <r>
      <rPr>
        <sz val="11"/>
        <color theme="1"/>
        <rFont val="ＭＳ Ｐゴシック"/>
        <family val="3"/>
        <charset val="134"/>
        <scheme val="minor"/>
      </rPr>
      <t>销</t>
    </r>
    <r>
      <rPr>
        <sz val="11"/>
        <color theme="1"/>
        <rFont val="ＭＳ Ｐゴシック"/>
        <family val="3"/>
        <charset val="128"/>
        <scheme val="minor"/>
      </rPr>
      <t>售有限公司</t>
    </r>
  </si>
  <si>
    <r>
      <t xml:space="preserve">食用酒精;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葡萄酒;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</t>
    </r>
  </si>
  <si>
    <r>
      <t>金典</t>
    </r>
    <r>
      <rPr>
        <sz val="11"/>
        <color theme="1"/>
        <rFont val="ＭＳ Ｐゴシック"/>
        <family val="3"/>
        <charset val="134"/>
        <scheme val="minor"/>
      </rPr>
      <t>鲲鹏</t>
    </r>
  </si>
  <si>
    <r>
      <t xml:space="preserve">白酒; 白干酒（中国白酒）; 蒸煮提取物（利口酒和烈酒）;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高粱酒; 葡萄酒; 苦味酒; 开胃酒</t>
    </r>
  </si>
  <si>
    <t>RIZZ</t>
  </si>
  <si>
    <r>
      <t>宁波德天厚供</t>
    </r>
    <r>
      <rPr>
        <sz val="11"/>
        <color theme="1"/>
        <rFont val="ＭＳ Ｐゴシック"/>
        <family val="3"/>
        <charset val="134"/>
        <scheme val="minor"/>
      </rPr>
      <t>应链</t>
    </r>
    <r>
      <rPr>
        <sz val="11"/>
        <color theme="1"/>
        <rFont val="ＭＳ Ｐゴシック"/>
        <family val="3"/>
        <charset val="128"/>
        <scheme val="minor"/>
      </rPr>
      <t>服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</si>
  <si>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苹果酒;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食用酒精; 葡萄酒; 利口酒; 开胃酒; 白酒; 餐后酒（利口酒和烈酒）;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</si>
  <si>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三江清雅</t>
  </si>
  <si>
    <r>
      <t xml:space="preserve">甜酒; 白干酒（中国白酒）; 伏特加酒; 葡萄酒; 果酒; 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清酒</t>
    </r>
  </si>
  <si>
    <t>FEY SOURCE</t>
  </si>
  <si>
    <t>韩晔</t>
  </si>
  <si>
    <r>
      <t xml:space="preserve">白酒;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果酒（含酒精）; 威士忌</t>
    </r>
  </si>
  <si>
    <t>崇奉</t>
  </si>
  <si>
    <t>刘玉波</t>
  </si>
  <si>
    <r>
      <t>葡萄酒; 清酒（日本米酒）; 米酒;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威士忌; 开胃酒</t>
    </r>
  </si>
  <si>
    <t>杭肆</t>
  </si>
  <si>
    <r>
      <t>福州市上下杭保</t>
    </r>
    <r>
      <rPr>
        <sz val="11"/>
        <color theme="1"/>
        <rFont val="ＭＳ Ｐゴシック"/>
        <family val="3"/>
        <charset val="134"/>
        <scheme val="minor"/>
      </rPr>
      <t>护</t>
    </r>
    <r>
      <rPr>
        <sz val="11"/>
        <color theme="1"/>
        <rFont val="ＭＳ Ｐゴシック"/>
        <family val="3"/>
        <charset val="128"/>
        <scheme val="minor"/>
      </rPr>
      <t>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</si>
  <si>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清酒; 白酒; 朗姆酒;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葡萄酒</t>
    </r>
  </si>
  <si>
    <r>
      <t>姬</t>
    </r>
    <r>
      <rPr>
        <sz val="11"/>
        <color theme="1"/>
        <rFont val="ＭＳ Ｐゴシック"/>
        <family val="3"/>
        <charset val="128"/>
        <scheme val="minor"/>
      </rPr>
      <t>莉</t>
    </r>
    <r>
      <rPr>
        <sz val="11"/>
        <color theme="1"/>
        <rFont val="ＭＳ Ｐゴシック"/>
        <family val="3"/>
        <charset val="134"/>
        <scheme val="minor"/>
      </rPr>
      <t>爱玛</t>
    </r>
    <r>
      <rPr>
        <sz val="11"/>
        <color theme="1"/>
        <rFont val="ＭＳ Ｐゴシック"/>
        <family val="3"/>
        <charset val="128"/>
        <scheme val="minor"/>
      </rPr>
      <t>士</t>
    </r>
  </si>
  <si>
    <r>
      <t>海南宝达供</t>
    </r>
    <r>
      <rPr>
        <sz val="11"/>
        <color theme="1"/>
        <rFont val="ＭＳ Ｐゴシック"/>
        <family val="3"/>
        <charset val="134"/>
        <scheme val="minor"/>
      </rPr>
      <t>应链</t>
    </r>
    <r>
      <rPr>
        <sz val="11"/>
        <color theme="1"/>
        <rFont val="ＭＳ Ｐゴシック"/>
        <family val="3"/>
        <charset val="128"/>
        <scheme val="minor"/>
      </rPr>
      <t>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</si>
  <si>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清酒（日本米酒）; 米酒; 白酒;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果酒（含酒精）</t>
    </r>
  </si>
  <si>
    <r>
      <t>红颜</t>
    </r>
    <r>
      <rPr>
        <sz val="11"/>
        <color theme="1"/>
        <rFont val="ＭＳ Ｐゴシック"/>
        <family val="3"/>
        <charset val="128"/>
        <scheme val="minor"/>
      </rPr>
      <t>太太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</si>
  <si>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34"/>
        <scheme val="minor"/>
      </rPr>
      <t>师门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</si>
  <si>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开胃酒; 蒸煮提取物（利口酒和烈酒）; 果酒（含酒精）;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</t>
    </r>
  </si>
  <si>
    <r>
      <t>天</t>
    </r>
    <r>
      <rPr>
        <sz val="11"/>
        <color theme="1"/>
        <rFont val="ＭＳ Ｐゴシック"/>
        <family val="3"/>
        <charset val="134"/>
        <scheme val="minor"/>
      </rPr>
      <t>赋</t>
    </r>
    <r>
      <rPr>
        <sz val="11"/>
        <color theme="1"/>
        <rFont val="ＭＳ Ｐゴシック"/>
        <family val="3"/>
        <charset val="128"/>
        <scheme val="minor"/>
      </rPr>
      <t>呱呱叫</t>
    </r>
  </si>
  <si>
    <t>邢永忠</t>
  </si>
  <si>
    <r>
      <t xml:space="preserve">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汽酒; 葡萄酒;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</t>
    </r>
  </si>
  <si>
    <t>刘基州汗</t>
  </si>
  <si>
    <r>
      <t>白酒; 五加皮酒（中国混合烈酒）; 烈酒; 开胃酒; 米酒; 食用酒精; 黄酒; 果酒（含酒精）;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汽酒</t>
    </r>
  </si>
  <si>
    <t>惜好</t>
  </si>
  <si>
    <r>
      <t>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米酒;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白酒; 葡萄酒</t>
    </r>
  </si>
  <si>
    <t>亳色添香</t>
  </si>
  <si>
    <r>
      <t>亳州市十二坊酒</t>
    </r>
    <r>
      <rPr>
        <sz val="11"/>
        <color theme="1"/>
        <rFont val="ＭＳ Ｐゴシック"/>
        <family val="3"/>
        <charset val="134"/>
        <scheme val="minor"/>
      </rPr>
      <t>业销</t>
    </r>
    <r>
      <rPr>
        <sz val="11"/>
        <color theme="1"/>
        <rFont val="ＭＳ Ｐゴシック"/>
        <family val="3"/>
        <charset val="128"/>
        <scheme val="minor"/>
      </rPr>
      <t>售有限公司</t>
    </r>
  </si>
  <si>
    <r>
      <t>白酒;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开胃酒; 利口酒; 烈酒</t>
    </r>
  </si>
  <si>
    <t>LOUIS VUITTON</t>
  </si>
  <si>
    <r>
      <t>路易威登</t>
    </r>
    <r>
      <rPr>
        <sz val="11"/>
        <color theme="1"/>
        <rFont val="ＭＳ Ｐゴシック"/>
        <family val="3"/>
        <charset val="134"/>
        <scheme val="minor"/>
      </rPr>
      <t>马</t>
    </r>
    <r>
      <rPr>
        <sz val="11"/>
        <color theme="1"/>
        <rFont val="ＭＳ Ｐゴシック"/>
        <family val="3"/>
        <charset val="128"/>
        <scheme val="minor"/>
      </rPr>
      <t>利蒂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</si>
  <si>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利口酒; 梨酒;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苹果酒;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</si>
  <si>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r>
      <t>玫若初</t>
    </r>
    <r>
      <rPr>
        <sz val="11"/>
        <color theme="1"/>
        <rFont val="ＭＳ Ｐゴシック"/>
        <family val="3"/>
        <charset val="134"/>
        <scheme val="minor"/>
      </rPr>
      <t>见</t>
    </r>
  </si>
  <si>
    <r>
      <t>绵</t>
    </r>
    <r>
      <rPr>
        <sz val="11"/>
        <color theme="1"/>
        <rFont val="ＭＳ Ｐゴシック"/>
        <family val="3"/>
        <charset val="128"/>
        <scheme val="minor"/>
      </rPr>
      <t>竹市天</t>
    </r>
    <r>
      <rPr>
        <sz val="11"/>
        <color theme="1"/>
        <rFont val="ＭＳ Ｐゴシック"/>
        <family val="3"/>
        <charset val="134"/>
        <scheme val="minor"/>
      </rPr>
      <t>骄农业</t>
    </r>
    <r>
      <rPr>
        <sz val="11"/>
        <color theme="1"/>
        <rFont val="ＭＳ Ｐゴシック"/>
        <family val="3"/>
        <charset val="128"/>
        <scheme val="minor"/>
      </rPr>
      <t>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</si>
  <si>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 xml:space="preserve">汁; 白酒;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果酒（含酒精）; 黄酒; 葡萄酒;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</si>
  <si>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祝景堂</t>
  </si>
  <si>
    <r>
      <t>青</t>
    </r>
    <r>
      <rPr>
        <sz val="11"/>
        <color theme="1"/>
        <rFont val="ＭＳ Ｐゴシック"/>
        <family val="3"/>
        <charset val="134"/>
        <scheme val="minor"/>
      </rPr>
      <t>岛鲁</t>
    </r>
    <r>
      <rPr>
        <sz val="11"/>
        <color theme="1"/>
        <rFont val="ＭＳ Ｐゴシック"/>
        <family val="3"/>
        <charset val="128"/>
        <scheme val="minor"/>
      </rPr>
      <t>瑞奇生物科技有限公司</t>
    </r>
  </si>
  <si>
    <r>
      <t>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开胃酒; 果酒（含酒精）; 白酒; 葡萄酒; 薄荷酒;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威士忌</t>
    </r>
  </si>
  <si>
    <t>岷泉醇</t>
  </si>
  <si>
    <t>张军</t>
  </si>
  <si>
    <r>
      <t>露酒; 白酒;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餐后酒（利口酒和烈酒）;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苹果酒;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葡萄酒; 果酒（含酒精）</t>
    </r>
  </si>
  <si>
    <t>雍文</t>
  </si>
  <si>
    <r>
      <t>重</t>
    </r>
    <r>
      <rPr>
        <sz val="11"/>
        <color theme="1"/>
        <rFont val="ＭＳ Ｐゴシック"/>
        <family val="3"/>
        <charset val="134"/>
        <scheme val="minor"/>
      </rPr>
      <t>庆</t>
    </r>
    <r>
      <rPr>
        <sz val="11"/>
        <color theme="1"/>
        <rFont val="ＭＳ Ｐゴシック"/>
        <family val="3"/>
        <charset val="128"/>
        <scheme val="minor"/>
      </rPr>
      <t>市江津区占榕家庭</t>
    </r>
    <r>
      <rPr>
        <sz val="11"/>
        <color theme="1"/>
        <rFont val="ＭＳ Ｐゴシック"/>
        <family val="3"/>
        <charset val="134"/>
        <scheme val="minor"/>
      </rPr>
      <t>农场</t>
    </r>
  </si>
  <si>
    <r>
      <t>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果酒（含酒精）;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</si>
  <si>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特</t>
    </r>
    <r>
      <rPr>
        <sz val="11"/>
        <color theme="1"/>
        <rFont val="ＭＳ Ｐゴシック"/>
        <family val="3"/>
        <charset val="134"/>
        <scheme val="minor"/>
      </rPr>
      <t>颂</t>
    </r>
  </si>
  <si>
    <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利口酒;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</si>
  <si>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年</t>
    </r>
    <r>
      <rPr>
        <sz val="11"/>
        <color theme="1"/>
        <rFont val="ＭＳ Ｐゴシック"/>
        <family val="3"/>
        <charset val="134"/>
        <scheme val="minor"/>
      </rPr>
      <t>玑</t>
    </r>
  </si>
  <si>
    <r>
      <t>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利口酒; 黄酒</t>
    </r>
  </si>
  <si>
    <r>
      <t>顺</t>
    </r>
    <r>
      <rPr>
        <sz val="11"/>
        <color theme="1"/>
        <rFont val="ＭＳ Ｐゴシック"/>
        <family val="3"/>
        <charset val="128"/>
        <scheme val="minor"/>
      </rPr>
      <t>天</t>
    </r>
    <r>
      <rPr>
        <sz val="11"/>
        <color theme="1"/>
        <rFont val="ＭＳ Ｐゴシック"/>
        <family val="3"/>
        <charset val="134"/>
        <scheme val="minor"/>
      </rPr>
      <t>玺</t>
    </r>
    <r>
      <rPr>
        <sz val="11"/>
        <color theme="1"/>
        <rFont val="ＭＳ Ｐゴシック"/>
        <family val="3"/>
        <charset val="128"/>
        <scheme val="minor"/>
      </rPr>
      <t xml:space="preserve"> 酒</t>
    </r>
  </si>
  <si>
    <r>
      <t>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黄酒; 威士忌; 果酒（含酒精）; 白酒; 清酒（日本米酒）; 蜂蜜酒;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</si>
  <si>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漳</t>
    </r>
    <r>
      <rPr>
        <sz val="11"/>
        <color theme="1"/>
        <rFont val="ＭＳ Ｐゴシック"/>
        <family val="3"/>
        <charset val="134"/>
        <scheme val="minor"/>
      </rPr>
      <t>发</t>
    </r>
  </si>
  <si>
    <r>
      <t>福建漳泰品牌运</t>
    </r>
    <r>
      <rPr>
        <sz val="11"/>
        <color theme="1"/>
        <rFont val="ＭＳ Ｐゴシック"/>
        <family val="3"/>
        <charset val="134"/>
        <scheme val="minor"/>
      </rPr>
      <t>营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</si>
  <si>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葡萄酒; 伏特加酒; 白酒; 餐后酒（利口酒和烈酒）;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</si>
  <si>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宝森天益</t>
  </si>
  <si>
    <r>
      <t>云南罕</t>
    </r>
    <r>
      <rPr>
        <sz val="11"/>
        <color theme="1"/>
        <rFont val="ＭＳ Ｐゴシック"/>
        <family val="3"/>
        <charset val="134"/>
        <scheme val="minor"/>
      </rPr>
      <t>锋</t>
    </r>
    <r>
      <rPr>
        <sz val="11"/>
        <color theme="1"/>
        <rFont val="ＭＳ Ｐゴシック"/>
        <family val="3"/>
        <charset val="128"/>
        <scheme val="minor"/>
      </rPr>
      <t>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媒有限公司</t>
    </r>
  </si>
  <si>
    <r>
      <t>开胃酒;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汽酒</t>
    </r>
  </si>
  <si>
    <r>
      <t>喜</t>
    </r>
    <r>
      <rPr>
        <sz val="11"/>
        <color theme="1"/>
        <rFont val="ＭＳ Ｐゴシック"/>
        <family val="3"/>
        <charset val="134"/>
        <scheme val="minor"/>
      </rPr>
      <t>驾</t>
    </r>
    <r>
      <rPr>
        <sz val="11"/>
        <color theme="1"/>
        <rFont val="ＭＳ Ｐゴシック"/>
        <family val="3"/>
        <charset val="128"/>
        <scheme val="minor"/>
      </rPr>
      <t>紫陶坊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</si>
  <si>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食用酒精; 葡萄酒;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果酒（含酒精）</t>
    </r>
  </si>
  <si>
    <r>
      <t>喜九</t>
    </r>
    <r>
      <rPr>
        <sz val="11"/>
        <color theme="1"/>
        <rFont val="ＭＳ Ｐゴシック"/>
        <family val="3"/>
        <charset val="134"/>
        <scheme val="minor"/>
      </rPr>
      <t>鱼</t>
    </r>
  </si>
  <si>
    <t>朱莉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</si>
  <si>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蜂蜜酒;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</t>
    </r>
  </si>
  <si>
    <t>仙香福</t>
  </si>
  <si>
    <t>邱雪英</t>
  </si>
  <si>
    <r>
      <t>果酒（含酒精）;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威士忌; 清酒（日本米酒）; 开胃酒; 米酒; 葡萄酒</t>
    </r>
  </si>
  <si>
    <t>乩</t>
  </si>
  <si>
    <t>胡敏利</t>
  </si>
  <si>
    <r>
      <t xml:space="preserve">食用酒精; 黄酒; 米酒; 烈酒; 蜂蜜酒; 白干酒（中国白酒）; 甜酒; 白酒; 高粱酒;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</si>
  <si>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郁成仙</t>
  </si>
  <si>
    <r>
      <t>哈</t>
    </r>
    <r>
      <rPr>
        <sz val="11"/>
        <color theme="1"/>
        <rFont val="ＭＳ Ｐゴシック"/>
        <family val="3"/>
        <charset val="134"/>
        <scheme val="minor"/>
      </rPr>
      <t>尔滨</t>
    </r>
    <r>
      <rPr>
        <sz val="11"/>
        <color theme="1"/>
        <rFont val="ＭＳ Ｐゴシック"/>
        <family val="3"/>
        <charset val="128"/>
        <scheme val="minor"/>
      </rPr>
      <t>振广建筑材料有限公司</t>
    </r>
  </si>
  <si>
    <r>
      <t xml:space="preserve">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蜂蜜酒; 葡萄酒; 汽酒</t>
    </r>
  </si>
  <si>
    <t>知百道</t>
  </si>
  <si>
    <t>胡哲一</t>
  </si>
  <si>
    <r>
      <t xml:space="preserve">汽酒; 黄酒; 白酒; 果酒（含酒精）; 葡萄酒;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青稞酒;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</si>
  <si>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t>西安薪山茶叶有限公司</t>
  </si>
  <si>
    <r>
      <t xml:space="preserve">威士忌; 葡萄酒; 白酒;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</si>
  <si>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京灶</t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</si>
  <si>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米酒; 开胃酒; 葡萄酒; 威士忌; 黄酒; 清酒（日本米酒）; 白酒</t>
    </r>
  </si>
  <si>
    <r>
      <t>匠春</t>
    </r>
    <r>
      <rPr>
        <sz val="11"/>
        <color theme="1"/>
        <rFont val="ＭＳ Ｐゴシック"/>
        <family val="3"/>
        <charset val="134"/>
        <scheme val="minor"/>
      </rPr>
      <t>风</t>
    </r>
  </si>
  <si>
    <t>黄恩恩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</si>
  <si>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白酒; 米酒; 食用酒精;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汽酒; 清酒（日本米酒）</t>
    </r>
  </si>
  <si>
    <t>中邳</t>
  </si>
  <si>
    <r>
      <t>上海伏</t>
    </r>
    <r>
      <rPr>
        <sz val="11"/>
        <color theme="1"/>
        <rFont val="ＭＳ Ｐゴシック"/>
        <family val="3"/>
        <charset val="134"/>
        <scheme val="minor"/>
      </rPr>
      <t>晓</t>
    </r>
    <r>
      <rPr>
        <sz val="11"/>
        <color theme="1"/>
        <rFont val="ＭＳ Ｐゴシック"/>
        <family val="3"/>
        <charset val="128"/>
        <scheme val="minor"/>
      </rPr>
      <t>汽</t>
    </r>
    <r>
      <rPr>
        <sz val="11"/>
        <color theme="1"/>
        <rFont val="ＭＳ Ｐゴシック"/>
        <family val="3"/>
        <charset val="134"/>
        <scheme val="minor"/>
      </rPr>
      <t>车</t>
    </r>
    <r>
      <rPr>
        <sz val="11"/>
        <color theme="1"/>
        <rFont val="ＭＳ Ｐゴシック"/>
        <family val="3"/>
        <charset val="128"/>
        <scheme val="minor"/>
      </rPr>
      <t>租</t>
    </r>
    <r>
      <rPr>
        <sz val="11"/>
        <color theme="1"/>
        <rFont val="ＭＳ Ｐゴシック"/>
        <family val="3"/>
        <charset val="134"/>
        <scheme val="minor"/>
      </rPr>
      <t>赁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</si>
  <si>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食用酒精; 白酒;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葡萄酒; 清酒（日本米酒）; 威士忌</t>
    </r>
  </si>
  <si>
    <r>
      <t>洞</t>
    </r>
    <r>
      <rPr>
        <sz val="11"/>
        <color theme="1"/>
        <rFont val="ＭＳ Ｐゴシック"/>
        <family val="3"/>
        <charset val="134"/>
        <scheme val="minor"/>
      </rPr>
      <t>浆</t>
    </r>
    <r>
      <rPr>
        <sz val="11"/>
        <color theme="1"/>
        <rFont val="ＭＳ Ｐゴシック"/>
        <family val="3"/>
        <charset val="128"/>
        <scheme val="minor"/>
      </rPr>
      <t>大典</t>
    </r>
  </si>
  <si>
    <r>
      <t>西咸新区空港新城泰梦</t>
    </r>
    <r>
      <rPr>
        <sz val="11"/>
        <color theme="1"/>
        <rFont val="ＭＳ Ｐゴシック"/>
        <family val="3"/>
        <charset val="134"/>
        <scheme val="minor"/>
      </rPr>
      <t>亚</t>
    </r>
    <r>
      <rPr>
        <sz val="11"/>
        <color theme="1"/>
        <rFont val="ＭＳ Ｐゴシック"/>
        <family val="3"/>
        <charset val="128"/>
        <scheme val="minor"/>
      </rPr>
      <t>百</t>
    </r>
    <r>
      <rPr>
        <sz val="11"/>
        <color theme="1"/>
        <rFont val="ＭＳ Ｐゴシック"/>
        <family val="3"/>
        <charset val="134"/>
        <scheme val="minor"/>
      </rPr>
      <t>货</t>
    </r>
    <r>
      <rPr>
        <sz val="11"/>
        <color theme="1"/>
        <rFont val="ＭＳ Ｐゴシック"/>
        <family val="3"/>
        <charset val="128"/>
        <scheme val="minor"/>
      </rPr>
      <t>店（个体工商</t>
    </r>
    <r>
      <rPr>
        <sz val="11"/>
        <color theme="1"/>
        <rFont val="ＭＳ Ｐゴシック"/>
        <family val="3"/>
        <charset val="134"/>
        <scheme val="minor"/>
      </rPr>
      <t>户</t>
    </r>
    <r>
      <rPr>
        <sz val="11"/>
        <color theme="1"/>
        <rFont val="ＭＳ Ｐゴシック"/>
        <family val="3"/>
        <charset val="128"/>
        <scheme val="minor"/>
      </rPr>
      <t>）</t>
    </r>
  </si>
  <si>
    <t>开胃酒; 汽酒; 白酒; 米酒; 清酒; 黄酒; 甜酒; 果酒; 食用酒精; 葡萄酒</t>
  </si>
  <si>
    <r>
      <t>欧雪</t>
    </r>
    <r>
      <rPr>
        <sz val="11"/>
        <color theme="1"/>
        <rFont val="ＭＳ Ｐゴシック"/>
        <family val="3"/>
        <charset val="134"/>
        <scheme val="minor"/>
      </rPr>
      <t>热</t>
    </r>
  </si>
  <si>
    <r>
      <t>吉林省墨宝园科技服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</si>
  <si>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加香料的</t>
    </r>
    <r>
      <rPr>
        <sz val="11"/>
        <color theme="1"/>
        <rFont val="ＭＳ Ｐゴシック"/>
        <family val="3"/>
        <charset val="134"/>
        <scheme val="minor"/>
      </rPr>
      <t>热</t>
    </r>
    <r>
      <rPr>
        <sz val="11"/>
        <color theme="1"/>
        <rFont val="ＭＳ Ｐゴシック"/>
        <family val="3"/>
        <charset val="128"/>
        <scheme val="minor"/>
      </rPr>
      <t>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甜果酒;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含酒精的水果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</si>
  <si>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皇源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</si>
  <si>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州国招酒（集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）有限公司</t>
    </r>
  </si>
  <si>
    <r>
      <t>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米酒; 黄酒; 葡萄酒; 食用酒精; 白酒; 高粱酒; 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</si>
  <si>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福德星耀</t>
  </si>
  <si>
    <r>
      <t>河南八</t>
    </r>
    <r>
      <rPr>
        <sz val="11"/>
        <color theme="1"/>
        <rFont val="ＭＳ Ｐゴシック"/>
        <family val="3"/>
        <charset val="134"/>
        <scheme val="minor"/>
      </rPr>
      <t>图</t>
    </r>
    <r>
      <rPr>
        <sz val="11"/>
        <color theme="1"/>
        <rFont val="ＭＳ Ｐゴシック"/>
        <family val="3"/>
        <charset val="128"/>
        <scheme val="minor"/>
      </rPr>
      <t>八商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</si>
  <si>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高粱酒; 烈酒; 甜酒; 葡萄酒;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白干酒（中国白酒）; 米酒;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</t>
    </r>
  </si>
  <si>
    <t>MOMENT TAI</t>
  </si>
  <si>
    <r>
      <t>广州茶</t>
    </r>
    <r>
      <rPr>
        <sz val="11"/>
        <color theme="1"/>
        <rFont val="ＭＳ Ｐゴシック"/>
        <family val="3"/>
        <charset val="129"/>
        <scheme val="minor"/>
      </rPr>
      <t>煲</t>
    </r>
    <r>
      <rPr>
        <sz val="11"/>
        <color theme="1"/>
        <rFont val="ＭＳ Ｐゴシック"/>
        <family val="3"/>
        <charset val="128"/>
        <scheme val="minor"/>
      </rPr>
      <t>小象餐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管理服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</si>
  <si>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伏特加酒;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清酒（日本米酒）; 威士忌;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餐后酒（利口酒和烈酒）; 含酒精的气泡水</t>
    </r>
  </si>
  <si>
    <t>知付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</si>
  <si>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州智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</si>
  <si>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黄酒; 果酒（含酒精）; 米酒; 葡萄酒; 白酒; 利口酒;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开胃酒</t>
    </r>
  </si>
  <si>
    <r>
      <t>丹溪-永</t>
    </r>
    <r>
      <rPr>
        <sz val="11"/>
        <color theme="1"/>
        <rFont val="ＭＳ Ｐゴシック"/>
        <family val="3"/>
        <charset val="134"/>
        <scheme val="minor"/>
      </rPr>
      <t>乐</t>
    </r>
  </si>
  <si>
    <r>
      <t>义乌</t>
    </r>
    <r>
      <rPr>
        <sz val="11"/>
        <color theme="1"/>
        <rFont val="ＭＳ Ｐゴシック"/>
        <family val="3"/>
        <charset val="128"/>
        <scheme val="minor"/>
      </rPr>
      <t>市丹溪酒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</si>
  <si>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预调</t>
    </r>
    <r>
      <rPr>
        <sz val="11"/>
        <color theme="1"/>
        <rFont val="ＭＳ Ｐゴシック"/>
        <family val="3"/>
        <charset val="128"/>
        <scheme val="minor"/>
      </rPr>
      <t xml:space="preserve">甜酒; 黄酒; 白酒; 青稞酒;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食用酒精; 蒸煮提取物（利口酒和烈酒）; 葡萄酒; 米酒</t>
    </r>
  </si>
  <si>
    <t>丹溪-永福</t>
  </si>
  <si>
    <r>
      <t xml:space="preserve">米酒; 黄酒; 食用酒精;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蒸煮提取物（利口酒和烈酒）; 白酒; </t>
    </r>
    <r>
      <rPr>
        <sz val="11"/>
        <color theme="1"/>
        <rFont val="ＭＳ Ｐゴシック"/>
        <family val="3"/>
        <charset val="134"/>
        <scheme val="minor"/>
      </rPr>
      <t>预调</t>
    </r>
    <r>
      <rPr>
        <sz val="11"/>
        <color theme="1"/>
        <rFont val="ＭＳ Ｐゴシック"/>
        <family val="3"/>
        <charset val="128"/>
        <scheme val="minor"/>
      </rPr>
      <t xml:space="preserve">甜酒;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青稞酒</t>
    </r>
  </si>
  <si>
    <t>千金坊</t>
  </si>
  <si>
    <r>
      <t>成都</t>
    </r>
    <r>
      <rPr>
        <sz val="11"/>
        <color theme="1"/>
        <rFont val="ＭＳ Ｐゴシック"/>
        <family val="3"/>
        <charset val="134"/>
        <scheme val="minor"/>
      </rPr>
      <t>兹</t>
    </r>
    <r>
      <rPr>
        <sz val="11"/>
        <color theme="1"/>
        <rFont val="ＭＳ Ｐゴシック"/>
        <family val="3"/>
        <charset val="128"/>
        <scheme val="minor"/>
      </rPr>
      <t>衍科技有限公司</t>
    </r>
  </si>
  <si>
    <r>
      <t xml:space="preserve">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黄酒; 白干酒（中国白酒）; 白酒;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果酒; 高粱酒</t>
    </r>
  </si>
  <si>
    <t>嶲州大脾气</t>
  </si>
  <si>
    <r>
      <t>越西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山河酒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</si>
  <si>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 xml:space="preserve">青稞酒; 黄酒;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烈酒; 清酒; 葡萄酒; 米酒; 果酒; 高粱酒</t>
    </r>
  </si>
  <si>
    <t>淞江曲</t>
  </si>
  <si>
    <r>
      <t>张</t>
    </r>
    <r>
      <rPr>
        <sz val="11"/>
        <color theme="1"/>
        <rFont val="ＭＳ Ｐゴシック"/>
        <family val="3"/>
        <charset val="128"/>
        <scheme val="minor"/>
      </rPr>
      <t>文宝</t>
    </r>
  </si>
  <si>
    <r>
      <t>果酒（含酒精）;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米酒; 白干酒（中国白酒）;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五加皮酒（中国混合烈酒）; 清酒（日本米酒）</t>
    </r>
  </si>
  <si>
    <t>汴韵</t>
  </si>
  <si>
    <r>
      <t>开封市晟正商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</si>
  <si>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白干酒（中国白酒）;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食用酒精; 果酒（含酒精）</t>
    </r>
  </si>
  <si>
    <t>良鼎醇香</t>
  </si>
  <si>
    <r>
      <t>孙</t>
    </r>
    <r>
      <rPr>
        <sz val="11"/>
        <color theme="1"/>
        <rFont val="ＭＳ Ｐゴシック"/>
        <family val="3"/>
        <charset val="128"/>
        <scheme val="minor"/>
      </rPr>
      <t>淑霞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</si>
  <si>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米酒（泡盛酒）; 汽酒;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以蒸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清酒（日本米酒）</t>
    </r>
  </si>
  <si>
    <r>
      <t>皇矜</t>
    </r>
    <r>
      <rPr>
        <sz val="11"/>
        <color theme="1"/>
        <rFont val="ＭＳ Ｐゴシック"/>
        <family val="3"/>
        <charset val="134"/>
        <scheme val="minor"/>
      </rPr>
      <t>粬</t>
    </r>
  </si>
  <si>
    <r>
      <t>东营</t>
    </r>
    <r>
      <rPr>
        <sz val="11"/>
        <color theme="1"/>
        <rFont val="ＭＳ Ｐゴシック"/>
        <family val="3"/>
        <charset val="128"/>
        <scheme val="minor"/>
      </rPr>
      <t>德固管理咨</t>
    </r>
    <r>
      <rPr>
        <sz val="11"/>
        <color theme="1"/>
        <rFont val="ＭＳ Ｐゴシック"/>
        <family val="3"/>
        <charset val="134"/>
        <scheme val="minor"/>
      </rPr>
      <t>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</si>
  <si>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黄酒; 烈酒; 清酒（日本米酒）; 青稞酒; 威士忌; 米酒; 葡萄酒; 白酒</t>
    </r>
  </si>
  <si>
    <t>宴天福福宴</t>
  </si>
  <si>
    <r>
      <t>厦</t>
    </r>
    <r>
      <rPr>
        <sz val="11"/>
        <color theme="1"/>
        <rFont val="ＭＳ Ｐゴシック"/>
        <family val="3"/>
        <charset val="134"/>
        <scheme val="minor"/>
      </rPr>
      <t>门贵</t>
    </r>
    <r>
      <rPr>
        <sz val="11"/>
        <color theme="1"/>
        <rFont val="ＭＳ Ｐゴシック"/>
        <family val="3"/>
        <charset val="128"/>
        <scheme val="minor"/>
      </rPr>
      <t>隆鑫网</t>
    </r>
    <r>
      <rPr>
        <sz val="11"/>
        <color theme="1"/>
        <rFont val="ＭＳ Ｐゴシック"/>
        <family val="3"/>
        <charset val="134"/>
        <scheme val="minor"/>
      </rPr>
      <t>络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</si>
  <si>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 xml:space="preserve">黄酒; 白酒; 葡萄酒; 威士忌;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高粱酒; 杜松子酒;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伏特加酒</t>
    </r>
  </si>
  <si>
    <r>
      <t>妙</t>
    </r>
    <r>
      <rPr>
        <sz val="11"/>
        <color theme="1"/>
        <rFont val="ＭＳ Ｐゴシック"/>
        <family val="3"/>
        <charset val="134"/>
        <scheme val="minor"/>
      </rPr>
      <t>馋</t>
    </r>
  </si>
  <si>
    <t>刘世广</t>
  </si>
  <si>
    <r>
      <t>果酒（含酒精）;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露酒; 高粱酒; 白酒; 黄酒</t>
    </r>
  </si>
  <si>
    <t>吴人·茶堂</t>
  </si>
  <si>
    <r>
      <t>郑</t>
    </r>
    <r>
      <rPr>
        <sz val="11"/>
        <color theme="1"/>
        <rFont val="ＭＳ Ｐゴシック"/>
        <family val="3"/>
        <charset val="128"/>
        <scheme val="minor"/>
      </rPr>
      <t>州吴人茶堂商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</si>
  <si>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苹果酒;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白酒; 清酒（日本米酒）</t>
    </r>
  </si>
  <si>
    <r>
      <t>喀泉窖</t>
    </r>
    <r>
      <rPr>
        <sz val="11"/>
        <color theme="1"/>
        <rFont val="ＭＳ Ｐゴシック"/>
        <family val="3"/>
        <charset val="134"/>
        <scheme val="minor"/>
      </rPr>
      <t>龄</t>
    </r>
  </si>
  <si>
    <r>
      <t>新疆喀泉酒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</si>
  <si>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开胃酒; 清酒（日本米酒）; 果酒（含酒精）; 白酒; 米酒; 威士忌;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</t>
    </r>
  </si>
  <si>
    <t>会多福</t>
  </si>
  <si>
    <r>
      <t>肖</t>
    </r>
    <r>
      <rPr>
        <sz val="11"/>
        <color theme="1"/>
        <rFont val="ＭＳ Ｐゴシック"/>
        <family val="3"/>
        <charset val="134"/>
        <scheme val="minor"/>
      </rPr>
      <t>鹏</t>
    </r>
  </si>
  <si>
    <r>
      <t xml:space="preserve">葡萄酒; 蜂蜜酒;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米酒; 白酒;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黄酒; 薄荷酒; 苹果酒; 梨酒</t>
    </r>
  </si>
  <si>
    <t>瑛派儿</t>
  </si>
  <si>
    <r>
      <t>广州市瑛派儿化</t>
    </r>
    <r>
      <rPr>
        <sz val="11"/>
        <color theme="1"/>
        <rFont val="ＭＳ Ｐゴシック"/>
        <family val="3"/>
        <charset val="134"/>
        <scheme val="minor"/>
      </rPr>
      <t>妆</t>
    </r>
    <r>
      <rPr>
        <sz val="11"/>
        <color theme="1"/>
        <rFont val="ＭＳ Ｐゴシック"/>
        <family val="3"/>
        <charset val="128"/>
        <scheme val="minor"/>
      </rPr>
      <t>品有限公司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</si>
  <si>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餐后酒（利口酒和烈酒）; 果酒; 威士忌; 清酒; 苹果酒; 葡萄酒; 开胃酒</t>
    </r>
  </si>
  <si>
    <t>求施</t>
  </si>
  <si>
    <t>董振</t>
  </si>
  <si>
    <r>
      <t>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葡萄酒; 黄酒; 米酒; 蒸煮提取物（利口酒和烈酒）;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</si>
  <si>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汉酿华</t>
    </r>
    <r>
      <rPr>
        <sz val="11"/>
        <color theme="1"/>
        <rFont val="ＭＳ Ｐゴシック"/>
        <family val="3"/>
        <charset val="128"/>
        <scheme val="minor"/>
      </rPr>
      <t>茗</t>
    </r>
  </si>
  <si>
    <r>
      <t>华</t>
    </r>
    <r>
      <rPr>
        <sz val="11"/>
        <color theme="1"/>
        <rFont val="ＭＳ Ｐゴシック"/>
        <family val="3"/>
        <charset val="128"/>
        <scheme val="minor"/>
      </rPr>
      <t>安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全域文旅</t>
    </r>
    <r>
      <rPr>
        <sz val="11"/>
        <color theme="1"/>
        <rFont val="ＭＳ Ｐゴシック"/>
        <family val="3"/>
        <charset val="134"/>
        <scheme val="minor"/>
      </rPr>
      <t>产业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</si>
  <si>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食用酒精; 威士忌; 白酒; 葡萄酒; 米酒; 蜂蜜酒;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</t>
    </r>
  </si>
  <si>
    <t>蒲渊酒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</si>
  <si>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市美之魂酒</t>
    </r>
    <r>
      <rPr>
        <sz val="11"/>
        <color theme="1"/>
        <rFont val="ＭＳ Ｐゴシック"/>
        <family val="3"/>
        <charset val="134"/>
        <scheme val="minor"/>
      </rPr>
      <t>业销</t>
    </r>
    <r>
      <rPr>
        <sz val="11"/>
        <color theme="1"/>
        <rFont val="ＭＳ Ｐゴシック"/>
        <family val="3"/>
        <charset val="128"/>
        <scheme val="minor"/>
      </rPr>
      <t>售有限公司</t>
    </r>
  </si>
  <si>
    <r>
      <t>露酒; 苹果酒;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果酒（含酒精）; 葡萄酒; 米酒; 餐后酒（利口酒和烈酒）</t>
    </r>
  </si>
  <si>
    <r>
      <t>财纷</t>
    </r>
    <r>
      <rPr>
        <sz val="11"/>
        <color theme="1"/>
        <rFont val="ＭＳ Ｐゴシック"/>
        <family val="3"/>
        <charset val="128"/>
        <scheme val="minor"/>
      </rPr>
      <t>小目</t>
    </r>
    <r>
      <rPr>
        <sz val="11"/>
        <color theme="1"/>
        <rFont val="ＭＳ Ｐゴシック"/>
        <family val="3"/>
        <charset val="134"/>
        <scheme val="minor"/>
      </rPr>
      <t>标</t>
    </r>
  </si>
  <si>
    <t>李小霞</t>
  </si>
  <si>
    <r>
      <t xml:space="preserve">果酒（含酒精）;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伏特加酒;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</t>
    </r>
  </si>
  <si>
    <t>欣湘媛</t>
  </si>
  <si>
    <r>
      <t>湖南味之媛商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</si>
  <si>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果酒（含酒精）; 葡萄酒;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 xml:space="preserve">汁;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含酒精的气泡水;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</si>
  <si>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徐</t>
    </r>
    <r>
      <rPr>
        <sz val="11"/>
        <color theme="1"/>
        <rFont val="ＭＳ Ｐゴシック"/>
        <family val="3"/>
        <charset val="134"/>
        <scheme val="minor"/>
      </rPr>
      <t>统</t>
    </r>
  </si>
  <si>
    <r>
      <t>杨军</t>
    </r>
    <r>
      <rPr>
        <sz val="11"/>
        <color theme="1"/>
        <rFont val="ＭＳ Ｐゴシック"/>
        <family val="3"/>
        <charset val="128"/>
        <scheme val="minor"/>
      </rPr>
      <t>慧</t>
    </r>
  </si>
  <si>
    <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开胃酒; 黄酒; 米酒;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</si>
  <si>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明工酒</t>
  </si>
  <si>
    <t>刘炳志</t>
  </si>
  <si>
    <r>
      <t>蜂蜜酒;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汽酒; 白酒;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苹果酒;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</si>
  <si>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十月腊</t>
  </si>
  <si>
    <t>程建忠******************</t>
  </si>
  <si>
    <r>
      <t xml:space="preserve">黄酒; 白酒; 米酒; 果酒（含酒精）;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 xml:space="preserve">梅酒; 苹果酒;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梨酒; 蜂蜜酒; 葡萄酒</t>
    </r>
  </si>
  <si>
    <t>睛宇</t>
  </si>
  <si>
    <r>
      <t>钟</t>
    </r>
    <r>
      <rPr>
        <sz val="11"/>
        <color theme="1"/>
        <rFont val="ＭＳ Ｐゴシック"/>
        <family val="3"/>
        <charset val="128"/>
        <scheme val="minor"/>
      </rPr>
      <t>亮亮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</si>
  <si>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黄酒;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果酒（含酒精）</t>
    </r>
  </si>
  <si>
    <r>
      <t>鉴</t>
    </r>
    <r>
      <rPr>
        <sz val="11"/>
        <color theme="1"/>
        <rFont val="ＭＳ Ｐゴシック"/>
        <family val="3"/>
        <charset val="128"/>
        <scheme val="minor"/>
      </rPr>
      <t>人心</t>
    </r>
  </si>
  <si>
    <t>李朝霞</t>
  </si>
  <si>
    <r>
      <t>食用酒精; 威士忌; 青稞酒;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黄酒; 果酒（含酒精）</t>
    </r>
  </si>
  <si>
    <r>
      <t>客</t>
    </r>
    <r>
      <rPr>
        <sz val="11"/>
        <color theme="1"/>
        <rFont val="ＭＳ Ｐゴシック"/>
        <family val="3"/>
        <charset val="134"/>
        <scheme val="minor"/>
      </rPr>
      <t>畅欢</t>
    </r>
  </si>
  <si>
    <t>汪后勇</t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</si>
  <si>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青稞酒; 白酒;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食用酒精; 威士忌</t>
    </r>
  </si>
  <si>
    <t>千瑞</t>
  </si>
  <si>
    <r>
      <t>楚</t>
    </r>
    <r>
      <rPr>
        <sz val="11"/>
        <color theme="1"/>
        <rFont val="ＭＳ Ｐゴシック"/>
        <family val="3"/>
        <charset val="134"/>
        <scheme val="minor"/>
      </rPr>
      <t>琼</t>
    </r>
  </si>
  <si>
    <r>
      <t xml:space="preserve">果酒（含酒精）; 米酒; 白酒;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青稞酒; 黄酒</t>
    </r>
  </si>
  <si>
    <t>清河晏</t>
  </si>
  <si>
    <r>
      <t>广州友利企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</si>
  <si>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t>無し</t>
  </si>
  <si>
    <r>
      <t>锦坛</t>
    </r>
    <r>
      <rPr>
        <sz val="11"/>
        <color theme="1"/>
        <rFont val="ＭＳ Ｐゴシック"/>
        <family val="3"/>
        <charset val="128"/>
        <scheme val="minor"/>
      </rPr>
      <t>妙</t>
    </r>
  </si>
  <si>
    <r>
      <t>泰安市泰山品</t>
    </r>
    <r>
      <rPr>
        <sz val="11"/>
        <color theme="1"/>
        <rFont val="ＭＳ Ｐゴシック"/>
        <family val="3"/>
        <charset val="134"/>
        <scheme val="minor"/>
      </rPr>
      <t>诚饮</t>
    </r>
    <r>
      <rPr>
        <sz val="11"/>
        <color theme="1"/>
        <rFont val="ＭＳ Ｐゴシック"/>
        <family val="3"/>
        <charset val="128"/>
        <scheme val="minor"/>
      </rPr>
      <t>品有限公司</t>
    </r>
  </si>
  <si>
    <r>
      <t>烈酒;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高粱酒;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</si>
  <si>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超</t>
    </r>
    <r>
      <rPr>
        <sz val="11"/>
        <color theme="1"/>
        <rFont val="ＭＳ Ｐゴシック"/>
        <family val="3"/>
        <charset val="134"/>
        <scheme val="minor"/>
      </rPr>
      <t>级陕</t>
    </r>
  </si>
  <si>
    <r>
      <t>张丽</t>
    </r>
    <r>
      <rPr>
        <sz val="11"/>
        <color theme="1"/>
        <rFont val="ＭＳ Ｐゴシック"/>
        <family val="3"/>
        <charset val="128"/>
        <scheme val="minor"/>
      </rPr>
      <t>杰</t>
    </r>
  </si>
  <si>
    <t>开胃酒; 米酒; 葡萄酒; 食用酒精; 甜酒; 白酒; 果酒; 汽酒; 清酒; 黄酒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</si>
  <si>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州刺力王生物科技有限公司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</si>
  <si>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梨酒;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开胃酒; 利口酒</t>
    </r>
  </si>
  <si>
    <r>
      <t>漫食</t>
    </r>
    <r>
      <rPr>
        <sz val="11"/>
        <color theme="1"/>
        <rFont val="ＭＳ Ｐゴシック"/>
        <family val="3"/>
        <charset val="134"/>
        <scheme val="minor"/>
      </rPr>
      <t>记驿</t>
    </r>
    <r>
      <rPr>
        <sz val="11"/>
        <color theme="1"/>
        <rFont val="ＭＳ Ｐゴシック"/>
        <family val="3"/>
        <charset val="128"/>
        <scheme val="minor"/>
      </rPr>
      <t>站</t>
    </r>
  </si>
  <si>
    <r>
      <t>钟</t>
    </r>
    <r>
      <rPr>
        <sz val="11"/>
        <color theme="1"/>
        <rFont val="ＭＳ Ｐゴシック"/>
        <family val="3"/>
        <charset val="128"/>
        <scheme val="minor"/>
      </rPr>
      <t>燕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</si>
  <si>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烈酒;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蒸煮提取物（利口酒和烈酒）; 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开胃酒; 黄酒</t>
    </r>
  </si>
  <si>
    <t>孤九坊</t>
  </si>
  <si>
    <r>
      <t>河南世御房地</t>
    </r>
    <r>
      <rPr>
        <sz val="11"/>
        <color theme="1"/>
        <rFont val="ＭＳ Ｐゴシック"/>
        <family val="3"/>
        <charset val="134"/>
        <scheme val="minor"/>
      </rPr>
      <t>产营销</t>
    </r>
    <r>
      <rPr>
        <sz val="11"/>
        <color theme="1"/>
        <rFont val="ＭＳ Ｐゴシック"/>
        <family val="3"/>
        <charset val="128"/>
        <scheme val="minor"/>
      </rPr>
      <t>策划有限公司</t>
    </r>
  </si>
  <si>
    <r>
      <t xml:space="preserve">威士忌; 米酒; 葡萄酒; 黄酒; 清酒（日本米酒）;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白干酒（中国白酒）; 果酒（含酒精）; 高粱酒</t>
    </r>
  </si>
  <si>
    <r>
      <t>青慕甄</t>
    </r>
    <r>
      <rPr>
        <sz val="11"/>
        <color theme="1"/>
        <rFont val="ＭＳ Ｐゴシック"/>
        <family val="3"/>
        <charset val="134"/>
        <scheme val="minor"/>
      </rPr>
      <t>选</t>
    </r>
  </si>
  <si>
    <r>
      <t>北京青慕文化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媒有限公司</t>
    </r>
  </si>
  <si>
    <r>
      <t xml:space="preserve">朗姆酒; 伏特加酒; 餐后酒（利口酒和烈酒）; 葡萄酒;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</si>
  <si>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麦麦提</t>
  </si>
  <si>
    <r>
      <t>庄臣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酒（福建）有限公司</t>
    </r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</si>
  <si>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威士忌; 伏特加酒; 烈酒;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利口酒; 朗姆酒;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</si>
  <si>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佳悦</t>
  </si>
  <si>
    <r>
      <t xml:space="preserve">白酒; 葡萄酒;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青稞酒;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</t>
    </r>
  </si>
  <si>
    <t>庄藏</t>
  </si>
  <si>
    <r>
      <t>北京中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国</t>
    </r>
    <r>
      <rPr>
        <sz val="11"/>
        <color theme="1"/>
        <rFont val="ＭＳ Ｐゴシック"/>
        <family val="3"/>
        <charset val="134"/>
        <scheme val="minor"/>
      </rPr>
      <t>际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</si>
  <si>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白酒; 葡萄酒;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开胃酒</t>
    </r>
  </si>
  <si>
    <r>
      <t>汉</t>
    </r>
    <r>
      <rPr>
        <sz val="11"/>
        <color theme="1"/>
        <rFont val="ＭＳ Ｐゴシック"/>
        <family val="3"/>
        <charset val="128"/>
        <scheme val="minor"/>
      </rPr>
      <t>吟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</si>
  <si>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食用酒精; 白酒;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蜂蜜酒; 葡萄酒</t>
    </r>
  </si>
  <si>
    <t>求市</t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</si>
  <si>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白酒; 米酒; 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蒸煮提取物（利口酒和烈酒）; 果酒（含酒精）; 葡萄酒</t>
    </r>
  </si>
  <si>
    <t>冰髓</t>
  </si>
  <si>
    <t>张龙</t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</si>
  <si>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汽酒; 甜酒; 威士忌; 白酒; 薄荷酒;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利口酒;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</si>
  <si>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益达</t>
  </si>
  <si>
    <r>
      <t>箭牌糖</t>
    </r>
    <r>
      <rPr>
        <sz val="11"/>
        <color theme="1"/>
        <rFont val="ＭＳ Ｐゴシック"/>
        <family val="3"/>
        <charset val="134"/>
        <scheme val="minor"/>
      </rPr>
      <t>类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</si>
  <si>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朗姆酒;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薄荷酒;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伏特加酒</t>
    </r>
  </si>
  <si>
    <t>伴伴尼</t>
  </si>
  <si>
    <r>
      <t>消感</t>
    </r>
    <r>
      <rPr>
        <sz val="11"/>
        <color theme="1"/>
        <rFont val="ＭＳ Ｐゴシック"/>
        <family val="3"/>
        <charset val="134"/>
        <scheme val="minor"/>
      </rPr>
      <t>卫</t>
    </r>
    <r>
      <rPr>
        <sz val="11"/>
        <color theme="1"/>
        <rFont val="ＭＳ Ｐゴシック"/>
        <family val="3"/>
        <charset val="128"/>
        <scheme val="minor"/>
      </rPr>
      <t>士（山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）医</t>
    </r>
    <r>
      <rPr>
        <sz val="11"/>
        <color theme="1"/>
        <rFont val="ＭＳ Ｐゴシック"/>
        <family val="3"/>
        <charset val="134"/>
        <scheme val="minor"/>
      </rPr>
      <t>疗</t>
    </r>
    <r>
      <rPr>
        <sz val="11"/>
        <color theme="1"/>
        <rFont val="ＭＳ Ｐゴシック"/>
        <family val="3"/>
        <charset val="128"/>
        <scheme val="minor"/>
      </rPr>
      <t>用品有限公司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</si>
  <si>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食用酒精; 葡萄酒; 蒸煮提取物（利口酒和烈酒）;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</t>
    </r>
  </si>
  <si>
    <r>
      <t>京</t>
    </r>
    <r>
      <rPr>
        <sz val="11"/>
        <color theme="1"/>
        <rFont val="ＭＳ Ｐゴシック"/>
        <family val="3"/>
        <charset val="134"/>
        <scheme val="minor"/>
      </rPr>
      <t>辉</t>
    </r>
  </si>
  <si>
    <r>
      <t>赵</t>
    </r>
    <r>
      <rPr>
        <sz val="11"/>
        <color theme="1"/>
        <rFont val="ＭＳ Ｐゴシック"/>
        <family val="3"/>
        <charset val="128"/>
        <scheme val="minor"/>
      </rPr>
      <t>占勇</t>
    </r>
  </si>
  <si>
    <r>
      <t xml:space="preserve">果酒（含酒精）;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青稞酒; 葡萄酒; 食用酒精;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白酒; 黄酒</t>
    </r>
  </si>
  <si>
    <t>泓瑞康</t>
  </si>
  <si>
    <r>
      <t>山西瑞康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造有限公司</t>
    </r>
  </si>
  <si>
    <r>
      <t>白干酒（中国白酒）; 白酒; 烈酒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蒸煮提取物（利口酒和烈酒）; 高粱酒;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葡萄酒</t>
    </r>
  </si>
  <si>
    <t>瑞星千川</t>
  </si>
  <si>
    <t>李志杰</t>
  </si>
  <si>
    <r>
      <t>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米酒; 葡萄酒; 白酒; 黄酒; 开胃酒; 朗姆酒; 餐后酒（利口酒和烈酒）; 威士忌</t>
    </r>
  </si>
  <si>
    <t>湘西云峰堂生物科技有限公司</t>
  </si>
  <si>
    <r>
      <t>蝮蛇酒; 黑覆盆子酒;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的白酒; 葡萄酒; 高粱酒; 白酒; 青梅酒; 果酒（含酒精）;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</si>
  <si>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学斌</t>
  </si>
  <si>
    <r>
      <t>孙</t>
    </r>
    <r>
      <rPr>
        <sz val="11"/>
        <color theme="1"/>
        <rFont val="ＭＳ Ｐゴシック"/>
        <family val="3"/>
        <charset val="128"/>
        <scheme val="minor"/>
      </rPr>
      <t>一峰</t>
    </r>
  </si>
  <si>
    <r>
      <t>葡萄酒;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白酒; 威士忌; 果酒（含酒精）</t>
    </r>
  </si>
  <si>
    <t>MERRY MEALS</t>
  </si>
  <si>
    <r>
      <t>北京</t>
    </r>
    <r>
      <rPr>
        <sz val="11"/>
        <color theme="1"/>
        <rFont val="ＭＳ Ｐゴシック"/>
        <family val="3"/>
        <charset val="134"/>
        <scheme val="minor"/>
      </rPr>
      <t>锐</t>
    </r>
    <r>
      <rPr>
        <sz val="11"/>
        <color theme="1"/>
        <rFont val="ＭＳ Ｐゴシック"/>
        <family val="3"/>
        <charset val="128"/>
        <scheme val="minor"/>
      </rPr>
      <t>池科技有限公司</t>
    </r>
  </si>
  <si>
    <r>
      <t>果酒;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利口酒;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</si>
  <si>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杏亭序</t>
  </si>
  <si>
    <r>
      <t>山西九牧坊酒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</si>
  <si>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开胃酒; 黄酒; 利口酒;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烈酒; 食用酒精; 高粱酒; 白酒;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</t>
    </r>
  </si>
  <si>
    <t>宽坛龙</t>
  </si>
  <si>
    <r>
      <t>董</t>
    </r>
    <r>
      <rPr>
        <sz val="11"/>
        <color theme="1"/>
        <rFont val="ＭＳ Ｐゴシック"/>
        <family val="3"/>
        <charset val="134"/>
        <scheme val="minor"/>
      </rPr>
      <t>伦镜</t>
    </r>
  </si>
  <si>
    <r>
      <t>苹果酒; 葡萄酒;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露酒;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果酒（含酒精）; 餐后酒（利口酒和烈酒）</t>
    </r>
  </si>
  <si>
    <r>
      <t>圣世古</t>
    </r>
    <r>
      <rPr>
        <sz val="11"/>
        <color theme="1"/>
        <rFont val="ＭＳ Ｐゴシック"/>
        <family val="3"/>
        <charset val="134"/>
        <scheme val="minor"/>
      </rPr>
      <t>缘</t>
    </r>
  </si>
  <si>
    <r>
      <t>白酒;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露酒;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米酒; 餐后酒（利口酒和烈酒）; 果酒（含酒精）; 苹果酒;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</si>
  <si>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t>MISS ISLAND</t>
  </si>
  <si>
    <r>
      <t>厦</t>
    </r>
    <r>
      <rPr>
        <sz val="11"/>
        <color theme="1"/>
        <rFont val="ＭＳ Ｐゴシック"/>
        <family val="3"/>
        <charset val="134"/>
        <scheme val="minor"/>
      </rPr>
      <t>门</t>
    </r>
    <r>
      <rPr>
        <sz val="11"/>
        <color theme="1"/>
        <rFont val="ＭＳ Ｐゴシック"/>
        <family val="3"/>
        <charset val="128"/>
        <scheme val="minor"/>
      </rPr>
      <t>麦九</t>
    </r>
    <r>
      <rPr>
        <sz val="11"/>
        <color theme="1"/>
        <rFont val="ＭＳ Ｐゴシック"/>
        <family val="3"/>
        <charset val="134"/>
        <scheme val="minor"/>
      </rPr>
      <t>进</t>
    </r>
    <r>
      <rPr>
        <sz val="11"/>
        <color theme="1"/>
        <rFont val="ＭＳ Ｐゴシック"/>
        <family val="3"/>
        <charset val="128"/>
        <scheme val="minor"/>
      </rPr>
      <t>出口有限公司</t>
    </r>
  </si>
  <si>
    <r>
      <t>麦芽威士忌; 混合威士忌酒;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葡萄酒; 白酒; 威士忌;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</si>
  <si>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邕江湾</t>
  </si>
  <si>
    <r>
      <t>山西商晋旅游开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</si>
  <si>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清酒;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蒸煮提取物（利口酒和烈酒）; 苦味酒; 开胃酒; 黄酒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</si>
  <si>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34"/>
        <scheme val="minor"/>
      </rPr>
      <t>帅</t>
    </r>
    <r>
      <rPr>
        <sz val="11"/>
        <color theme="1"/>
        <rFont val="ＭＳ Ｐゴシック"/>
        <family val="3"/>
        <charset val="128"/>
        <scheme val="minor"/>
      </rPr>
      <t>福台酒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</si>
  <si>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白酒; 果酒（含酒精）; 露酒;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餐后酒（利口酒和烈酒）; 苹果酒</t>
    </r>
  </si>
  <si>
    <r>
      <t>须鸭</t>
    </r>
    <r>
      <rPr>
        <sz val="11"/>
        <color theme="1"/>
        <rFont val="ＭＳ Ｐゴシック"/>
        <family val="3"/>
        <charset val="128"/>
        <scheme val="minor"/>
      </rPr>
      <t>湖</t>
    </r>
  </si>
  <si>
    <r>
      <t>孙</t>
    </r>
    <r>
      <rPr>
        <sz val="11"/>
        <color theme="1"/>
        <rFont val="ＭＳ Ｐゴシック"/>
        <family val="3"/>
        <charset val="128"/>
        <scheme val="minor"/>
      </rPr>
      <t>黎明</t>
    </r>
  </si>
  <si>
    <r>
      <t xml:space="preserve">果酒（含酒精）; 葡萄酒;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</si>
  <si>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盼丰</t>
    </r>
    <r>
      <rPr>
        <sz val="11"/>
        <color theme="1"/>
        <rFont val="ＭＳ Ｐゴシック"/>
        <family val="3"/>
        <charset val="134"/>
        <scheme val="minor"/>
      </rPr>
      <t>简</t>
    </r>
    <r>
      <rPr>
        <sz val="11"/>
        <color theme="1"/>
        <rFont val="ＭＳ Ｐゴシック"/>
        <family val="3"/>
        <charset val="128"/>
        <scheme val="minor"/>
      </rPr>
      <t>中</t>
    </r>
    <r>
      <rPr>
        <sz val="11"/>
        <color theme="1"/>
        <rFont val="ＭＳ Ｐゴシック"/>
        <family val="3"/>
        <charset val="134"/>
        <scheme val="minor"/>
      </rPr>
      <t>贵</t>
    </r>
  </si>
  <si>
    <r>
      <t>陕</t>
    </r>
    <r>
      <rPr>
        <sz val="11"/>
        <color theme="1"/>
        <rFont val="ＭＳ Ｐゴシック"/>
        <family val="3"/>
        <charset val="128"/>
        <scheme val="minor"/>
      </rPr>
      <t>西盼丰</t>
    </r>
    <r>
      <rPr>
        <sz val="11"/>
        <color theme="1"/>
        <rFont val="ＭＳ Ｐゴシック"/>
        <family val="3"/>
        <charset val="134"/>
        <scheme val="minor"/>
      </rPr>
      <t>农业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</si>
  <si>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 xml:space="preserve">梨酒; 米酒;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葡萄酒; 黄酒; 白酒;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</si>
  <si>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米沅</t>
  </si>
  <si>
    <t>沈阳山水加沅品牌管理有限公司</t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</si>
  <si>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利口酒;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</si>
  <si>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焸</t>
    </r>
    <r>
      <rPr>
        <sz val="11"/>
        <color theme="1"/>
        <rFont val="ＭＳ Ｐゴシック"/>
        <family val="3"/>
        <charset val="129"/>
        <scheme val="minor"/>
      </rPr>
      <t>洺</t>
    </r>
  </si>
  <si>
    <r>
      <t>青稞酒;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葡萄酒;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黄酒</t>
    </r>
  </si>
  <si>
    <t>上好福</t>
  </si>
  <si>
    <r>
      <t>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上好酒道品牌管理有限公司</t>
    </r>
  </si>
  <si>
    <r>
      <t>白干酒（中国白酒）;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蒸煮提取物（利口酒和烈酒）;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开胃酒; 米酒; 白酒</t>
    </r>
  </si>
  <si>
    <r>
      <t>九官</t>
    </r>
    <r>
      <rPr>
        <sz val="11"/>
        <color theme="1"/>
        <rFont val="ＭＳ Ｐゴシック"/>
        <family val="3"/>
        <charset val="134"/>
        <scheme val="minor"/>
      </rPr>
      <t>鸟</t>
    </r>
  </si>
  <si>
    <r>
      <t>上海行展工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</si>
  <si>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加烈葡萄酒;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利口酒; 白干酒（中国白酒）;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开胃酒; 葡萄酒; 甜酒; 果酒; 露酒</t>
    </r>
  </si>
  <si>
    <r>
      <t>赤</t>
    </r>
    <r>
      <rPr>
        <sz val="11"/>
        <color theme="1"/>
        <rFont val="ＭＳ Ｐゴシック"/>
        <family val="3"/>
        <charset val="134"/>
        <scheme val="minor"/>
      </rPr>
      <t>冈</t>
    </r>
    <r>
      <rPr>
        <sz val="11"/>
        <color theme="1"/>
        <rFont val="ＭＳ Ｐゴシック"/>
        <family val="3"/>
        <charset val="128"/>
        <scheme val="minor"/>
      </rPr>
      <t>古</t>
    </r>
    <r>
      <rPr>
        <sz val="11"/>
        <color theme="1"/>
        <rFont val="ＭＳ Ｐゴシック"/>
        <family val="3"/>
        <charset val="134"/>
        <scheme val="minor"/>
      </rPr>
      <t>陈</t>
    </r>
  </si>
  <si>
    <r>
      <t>马</t>
    </r>
    <r>
      <rPr>
        <sz val="11"/>
        <color theme="1"/>
        <rFont val="ＭＳ Ｐゴシック"/>
        <family val="3"/>
        <charset val="128"/>
        <scheme val="minor"/>
      </rPr>
      <t>荣仔</t>
    </r>
  </si>
  <si>
    <r>
      <t>五加皮酒（中国混合烈酒）;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白酒; 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清酒</t>
    </r>
  </si>
  <si>
    <t>全能魔法</t>
  </si>
  <si>
    <r>
      <t>张</t>
    </r>
    <r>
      <rPr>
        <sz val="11"/>
        <color theme="1"/>
        <rFont val="ＭＳ Ｐゴシック"/>
        <family val="3"/>
        <charset val="128"/>
        <scheme val="minor"/>
      </rPr>
      <t>乖利</t>
    </r>
  </si>
  <si>
    <t>开胃酒; 清酒; 甜酒; 白酒; 葡萄酒; 黄酒; 果酒; 汽酒; 米酒; 食用酒精</t>
  </si>
  <si>
    <t>墨存</t>
  </si>
  <si>
    <r>
      <t>上海温普斯商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</si>
  <si>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t>白酒</t>
  </si>
  <si>
    <t>涉匠</t>
  </si>
  <si>
    <r>
      <t>刘</t>
    </r>
    <r>
      <rPr>
        <sz val="11"/>
        <color theme="1"/>
        <rFont val="ＭＳ Ｐゴシック"/>
        <family val="3"/>
        <charset val="134"/>
        <scheme val="minor"/>
      </rPr>
      <t>晓</t>
    </r>
    <r>
      <rPr>
        <sz val="11"/>
        <color theme="1"/>
        <rFont val="ＭＳ Ｐゴシック"/>
        <family val="3"/>
        <charset val="128"/>
        <scheme val="minor"/>
      </rPr>
      <t>波</t>
    </r>
  </si>
  <si>
    <r>
      <t xml:space="preserve">朗姆酒; 伏特加酒; 葡萄酒; 清酒;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食用酒精; 威士忌</t>
    </r>
  </si>
  <si>
    <r>
      <t>泸</t>
    </r>
    <r>
      <rPr>
        <sz val="11"/>
        <color theme="1"/>
        <rFont val="ＭＳ Ｐゴシック"/>
        <family val="3"/>
        <charset val="129"/>
        <scheme val="minor"/>
      </rPr>
      <t>胜</t>
    </r>
  </si>
  <si>
    <r>
      <t>深圳</t>
    </r>
    <r>
      <rPr>
        <sz val="11"/>
        <color theme="1"/>
        <rFont val="ＭＳ Ｐゴシック"/>
        <family val="3"/>
        <charset val="134"/>
        <scheme val="minor"/>
      </rPr>
      <t>泸</t>
    </r>
    <r>
      <rPr>
        <sz val="11"/>
        <color theme="1"/>
        <rFont val="ＭＳ Ｐゴシック"/>
        <family val="3"/>
        <charset val="129"/>
        <scheme val="minor"/>
      </rPr>
      <t>胜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</si>
  <si>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黄酒; 葡萄酒;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米酒;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</si>
  <si>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倾</t>
    </r>
    <r>
      <rPr>
        <sz val="11"/>
        <color theme="1"/>
        <rFont val="ＭＳ Ｐゴシック"/>
        <family val="3"/>
        <charset val="128"/>
        <scheme val="minor"/>
      </rPr>
      <t>古今</t>
    </r>
  </si>
  <si>
    <t>唐碧芳</t>
  </si>
  <si>
    <r>
      <t xml:space="preserve">食用酒精; 威士忌;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青稞酒;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</si>
  <si>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白酒; 果酒（含酒精）; 利口酒;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开胃酒; 梨酒</t>
    </r>
  </si>
  <si>
    <r>
      <t>龙</t>
    </r>
    <r>
      <rPr>
        <sz val="11"/>
        <color theme="1"/>
        <rFont val="ＭＳ Ｐゴシック"/>
        <family val="3"/>
        <charset val="128"/>
        <scheme val="minor"/>
      </rPr>
      <t>运馥通</t>
    </r>
  </si>
  <si>
    <r>
      <t>安徽金种子酒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股份有限公司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</si>
  <si>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黄酒;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</t>
    </r>
  </si>
  <si>
    <t>莉卡皇后</t>
  </si>
  <si>
    <t>戚耀亮</t>
  </si>
  <si>
    <r>
      <t xml:space="preserve">青稞酒; 开胃酒; 果酒（含酒精）; 蜂蜜酒;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食用酒精; 黄酒; 白酒</t>
    </r>
  </si>
  <si>
    <r>
      <t>御淳</t>
    </r>
    <r>
      <rPr>
        <sz val="11"/>
        <color theme="1"/>
        <rFont val="ＭＳ Ｐゴシック"/>
        <family val="3"/>
        <charset val="134"/>
        <scheme val="minor"/>
      </rPr>
      <t>乆</t>
    </r>
  </si>
  <si>
    <r>
      <t>广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建晟医</t>
    </r>
    <r>
      <rPr>
        <sz val="11"/>
        <color theme="1"/>
        <rFont val="ＭＳ Ｐゴシック"/>
        <family val="3"/>
        <charset val="134"/>
        <scheme val="minor"/>
      </rPr>
      <t>药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</si>
  <si>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蜂蜜酒; 食用酒精; 白酒; 米酒; 青稞酒; 黄酒; 葡萄酒</t>
    </r>
  </si>
  <si>
    <r>
      <t>酒道</t>
    </r>
    <r>
      <rPr>
        <sz val="11"/>
        <color theme="1"/>
        <rFont val="ＭＳ Ｐゴシック"/>
        <family val="3"/>
        <charset val="134"/>
        <scheme val="minor"/>
      </rPr>
      <t>鸿图</t>
    </r>
  </si>
  <si>
    <r>
      <t>果酒（含酒精）; 餐后酒（利口酒和烈酒）; 葡萄酒; 露酒;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苹果酒; 白酒</t>
    </r>
  </si>
  <si>
    <t>承香</t>
  </si>
  <si>
    <r>
      <t xml:space="preserve">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高粱酒;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食用酒精; 甜酒; 米酒; 葡萄酒; 黄酒</t>
    </r>
  </si>
  <si>
    <r>
      <t>东</t>
    </r>
    <r>
      <rPr>
        <sz val="11"/>
        <color theme="1"/>
        <rFont val="ＭＳ Ｐゴシック"/>
        <family val="3"/>
        <charset val="128"/>
        <scheme val="minor"/>
      </rPr>
      <t>芳扁</t>
    </r>
    <r>
      <rPr>
        <sz val="11"/>
        <color theme="1"/>
        <rFont val="ＭＳ Ｐゴシック"/>
        <family val="3"/>
        <charset val="134"/>
        <scheme val="minor"/>
      </rPr>
      <t>鹊</t>
    </r>
  </si>
  <si>
    <r>
      <t>武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</t>
    </r>
  </si>
  <si>
    <t>果酒; 开胃酒; 汽酒; 葡萄酒; 食用酒精; 甜酒; 白酒; 清酒; 米酒; 黄酒</t>
  </si>
  <si>
    <t>龙绚</t>
  </si>
  <si>
    <t>刘庭斌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</si>
  <si>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威士忌; 白酒; 葡萄酒; 食用酒精; 清酒（日本米酒）; 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</si>
  <si>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京皇星</t>
  </si>
  <si>
    <t>梁玉杰</t>
  </si>
  <si>
    <r>
      <t xml:space="preserve">白酒;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开胃酒; 黄酒; 汽酒; 果酒（含酒精）; 食用酒精</t>
    </r>
  </si>
  <si>
    <r>
      <t>钟</t>
    </r>
    <r>
      <rPr>
        <sz val="11"/>
        <color theme="1"/>
        <rFont val="ＭＳ Ｐゴシック"/>
        <family val="3"/>
        <charset val="128"/>
        <scheme val="minor"/>
      </rPr>
      <t>梼</t>
    </r>
  </si>
  <si>
    <r>
      <t>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葡萄酒; 白酒;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</si>
  <si>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慢</t>
    </r>
    <r>
      <rPr>
        <sz val="11"/>
        <color theme="1"/>
        <rFont val="ＭＳ Ｐゴシック"/>
        <family val="3"/>
        <charset val="134"/>
        <scheme val="minor"/>
      </rPr>
      <t>简</t>
    </r>
    <r>
      <rPr>
        <sz val="11"/>
        <color theme="1"/>
        <rFont val="ＭＳ Ｐゴシック"/>
        <family val="3"/>
        <charset val="128"/>
        <scheme val="minor"/>
      </rPr>
      <t>奢</t>
    </r>
  </si>
  <si>
    <r>
      <t>亳州市三国酒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</si>
  <si>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蒸煮提取物（利口酒和烈酒）; 果酒（含酒精）;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米酒</t>
    </r>
  </si>
  <si>
    <r>
      <t>南阳市中意酒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</si>
  <si>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加烈葡萄酒; 白葡萄酒;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葡萄汽酒;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威士忌; 白酒;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</si>
  <si>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贵诉</t>
  </si>
  <si>
    <r>
      <t>胡建</t>
    </r>
    <r>
      <rPr>
        <sz val="11"/>
        <color theme="1"/>
        <rFont val="ＭＳ Ｐゴシック"/>
        <family val="3"/>
        <charset val="134"/>
        <scheme val="minor"/>
      </rPr>
      <t>华</t>
    </r>
  </si>
  <si>
    <r>
      <t>食用酒精;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果酒（含酒精）; 黄酒; 青稞酒; 白酒;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</si>
  <si>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星耀福德</t>
  </si>
  <si>
    <r>
      <t>开胃酒; 葡萄酒; 甜酒; 白干酒（中国白酒）; 烈酒; 高粱酒;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米酒;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</si>
  <si>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r>
      <t>虞山</t>
    </r>
    <r>
      <rPr>
        <sz val="11"/>
        <color theme="1"/>
        <rFont val="ＭＳ Ｐゴシック"/>
        <family val="3"/>
        <charset val="134"/>
        <scheme val="minor"/>
      </rPr>
      <t>兴</t>
    </r>
    <r>
      <rPr>
        <sz val="11"/>
        <color theme="1"/>
        <rFont val="ＭＳ Ｐゴシック"/>
        <family val="3"/>
        <charset val="128"/>
        <scheme val="minor"/>
      </rPr>
      <t>福</t>
    </r>
  </si>
  <si>
    <r>
      <t>朱佩</t>
    </r>
    <r>
      <rPr>
        <sz val="11"/>
        <color theme="1"/>
        <rFont val="ＭＳ Ｐゴシック"/>
        <family val="3"/>
        <charset val="134"/>
        <scheme val="minor"/>
      </rPr>
      <t>东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</si>
  <si>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米酒; 黄酒; 开胃酒; 葡萄酒;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</si>
  <si>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柔之魂</t>
  </si>
  <si>
    <r>
      <t>黄酒; 米酒;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食用酒精;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青稞酒</t>
    </r>
  </si>
  <si>
    <t>亨特梁</t>
  </si>
  <si>
    <t>亨特莱恩有限公司</t>
  </si>
  <si>
    <r>
      <t>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</t>
    </r>
  </si>
  <si>
    <r>
      <t>贵传</t>
    </r>
    <r>
      <rPr>
        <sz val="11"/>
        <color theme="1"/>
        <rFont val="ＭＳ Ｐゴシック"/>
        <family val="3"/>
        <charset val="128"/>
        <scheme val="minor"/>
      </rPr>
      <t>江</t>
    </r>
  </si>
  <si>
    <t>刘燕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</si>
  <si>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酒（烈酒）; 白葡萄酒; 高粱酒; 白酒; 葡萄酒; 米酒; 五加皮酒（中国混合烈酒）; 果酒（含酒精）; 白干酒（中国白酒）;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</si>
  <si>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t>继泽</t>
  </si>
  <si>
    <r>
      <t>河南</t>
    </r>
    <r>
      <rPr>
        <sz val="11"/>
        <color theme="1"/>
        <rFont val="ＭＳ Ｐゴシック"/>
        <family val="3"/>
        <charset val="134"/>
        <scheme val="minor"/>
      </rPr>
      <t>继泽</t>
    </r>
    <r>
      <rPr>
        <sz val="11"/>
        <color theme="1"/>
        <rFont val="ＭＳ Ｐゴシック"/>
        <family val="3"/>
        <charset val="128"/>
        <scheme val="minor"/>
      </rPr>
      <t>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</si>
  <si>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开胃酒; 葡萄酒; 黄酒; 米酒;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果酒（含酒精）</t>
    </r>
  </si>
  <si>
    <r>
      <t>岚</t>
    </r>
    <r>
      <rPr>
        <sz val="11"/>
        <color theme="1"/>
        <rFont val="ＭＳ Ｐゴシック"/>
        <family val="3"/>
        <charset val="128"/>
        <scheme val="minor"/>
      </rPr>
      <t>古壹号</t>
    </r>
  </si>
  <si>
    <t>山西互客帮科技有限公司</t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</si>
  <si>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伏特加酒;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威士忌; 米酒; 白酒;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</t>
    </r>
  </si>
  <si>
    <r>
      <t>齐</t>
    </r>
    <r>
      <rPr>
        <sz val="11"/>
        <color theme="1"/>
        <rFont val="ＭＳ Ｐゴシック"/>
        <family val="3"/>
        <charset val="128"/>
        <scheme val="minor"/>
      </rPr>
      <t>石山</t>
    </r>
  </si>
  <si>
    <t>徐蔓</t>
  </si>
  <si>
    <r>
      <t>葡萄酒; 米酒; 果酒（含酒精）; 黄酒;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伏特加酒; 白酒; 食用酒精;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</si>
  <si>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蜀道臻</t>
    </r>
    <r>
      <rPr>
        <sz val="11"/>
        <color theme="1"/>
        <rFont val="ＭＳ Ｐゴシック"/>
        <family val="3"/>
        <charset val="134"/>
        <scheme val="minor"/>
      </rPr>
      <t>龙</t>
    </r>
  </si>
  <si>
    <r>
      <t>上海蜀道臻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</si>
  <si>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烈酒;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清酒; 米酒;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果酒; 白酒</t>
    </r>
  </si>
  <si>
    <r>
      <t>华</t>
    </r>
    <r>
      <rPr>
        <sz val="11"/>
        <color theme="1"/>
        <rFont val="ＭＳ Ｐゴシック"/>
        <family val="3"/>
        <charset val="128"/>
        <scheme val="minor"/>
      </rPr>
      <t>珍妙</t>
    </r>
    <r>
      <rPr>
        <sz val="11"/>
        <color theme="1"/>
        <rFont val="ＭＳ Ｐゴシック"/>
        <family val="3"/>
        <charset val="134"/>
        <scheme val="minor"/>
      </rPr>
      <t>坛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</si>
  <si>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高粱酒</t>
    </r>
  </si>
  <si>
    <t>汪庄西子</t>
  </si>
  <si>
    <r>
      <t>杭州古</t>
    </r>
    <r>
      <rPr>
        <sz val="11"/>
        <color theme="1"/>
        <rFont val="ＭＳ Ｐゴシック"/>
        <family val="3"/>
        <charset val="134"/>
        <scheme val="minor"/>
      </rPr>
      <t>斓</t>
    </r>
    <r>
      <rPr>
        <sz val="11"/>
        <color theme="1"/>
        <rFont val="ＭＳ Ｐゴシック"/>
        <family val="3"/>
        <charset val="128"/>
        <scheme val="minor"/>
      </rPr>
      <t>文化</t>
    </r>
    <r>
      <rPr>
        <sz val="11"/>
        <color theme="1"/>
        <rFont val="ＭＳ Ｐゴシック"/>
        <family val="3"/>
        <charset val="134"/>
        <scheme val="minor"/>
      </rPr>
      <t>创</t>
    </r>
    <r>
      <rPr>
        <sz val="11"/>
        <color theme="1"/>
        <rFont val="ＭＳ Ｐゴシック"/>
        <family val="3"/>
        <charset val="128"/>
        <scheme val="minor"/>
      </rPr>
      <t>意有限公司</t>
    </r>
  </si>
  <si>
    <r>
      <t>黄酒; 葡萄酒; 米酒;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蒸煮提取物（利口酒和烈酒）;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 xml:space="preserve">汁;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</si>
  <si>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烟</t>
    </r>
    <r>
      <rPr>
        <sz val="11"/>
        <color theme="1"/>
        <rFont val="ＭＳ Ｐゴシック"/>
        <family val="3"/>
        <charset val="134"/>
        <scheme val="minor"/>
      </rPr>
      <t>屿</t>
    </r>
    <r>
      <rPr>
        <sz val="11"/>
        <color theme="1"/>
        <rFont val="ＭＳ Ｐゴシック"/>
        <family val="3"/>
        <charset val="128"/>
        <scheme val="minor"/>
      </rPr>
      <t>笙</t>
    </r>
  </si>
  <si>
    <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米酒;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食用酒精; 白酒; 蒸煮提取物（利口酒和烈酒）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</si>
  <si>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窖禧</t>
    </r>
  </si>
  <si>
    <r>
      <t>董</t>
    </r>
    <r>
      <rPr>
        <sz val="11"/>
        <color theme="1"/>
        <rFont val="ＭＳ Ｐゴシック"/>
        <family val="3"/>
        <charset val="134"/>
        <scheme val="minor"/>
      </rPr>
      <t>亿</t>
    </r>
    <r>
      <rPr>
        <sz val="11"/>
        <color theme="1"/>
        <rFont val="ＭＳ Ｐゴシック"/>
        <family val="3"/>
        <charset val="128"/>
        <scheme val="minor"/>
      </rPr>
      <t>新</t>
    </r>
  </si>
  <si>
    <r>
      <t>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高粱酒; 米酒;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黄酒; 白酒;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白干酒（中国白酒）</t>
    </r>
  </si>
  <si>
    <r>
      <t>老唐浮白</t>
    </r>
    <r>
      <rPr>
        <sz val="11"/>
        <color theme="1"/>
        <rFont val="ＭＳ Ｐゴシック"/>
        <family val="3"/>
        <charset val="134"/>
        <scheme val="minor"/>
      </rPr>
      <t>馆</t>
    </r>
  </si>
  <si>
    <r>
      <t>南京帆</t>
    </r>
    <r>
      <rPr>
        <sz val="11"/>
        <color theme="1"/>
        <rFont val="ＭＳ Ｐゴシック"/>
        <family val="3"/>
        <charset val="134"/>
        <scheme val="minor"/>
      </rPr>
      <t>钉软</t>
    </r>
    <r>
      <rPr>
        <sz val="11"/>
        <color theme="1"/>
        <rFont val="ＭＳ Ｐゴシック"/>
        <family val="3"/>
        <charset val="128"/>
        <scheme val="minor"/>
      </rPr>
      <t>件有限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</si>
  <si>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威士忌;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朗姆酒; 伏特加酒; 黄酒; 米酒</t>
    </r>
  </si>
  <si>
    <r>
      <t>珍祥</t>
    </r>
    <r>
      <rPr>
        <sz val="11"/>
        <color theme="1"/>
        <rFont val="ＭＳ Ｐゴシック"/>
        <family val="3"/>
        <charset val="134"/>
        <scheme val="minor"/>
      </rPr>
      <t>龙</t>
    </r>
  </si>
  <si>
    <r>
      <t>福州</t>
    </r>
    <r>
      <rPr>
        <sz val="11"/>
        <color theme="1"/>
        <rFont val="ＭＳ Ｐゴシック"/>
        <family val="3"/>
        <charset val="134"/>
        <scheme val="minor"/>
      </rPr>
      <t>腾</t>
    </r>
    <r>
      <rPr>
        <sz val="11"/>
        <color theme="1"/>
        <rFont val="ＭＳ Ｐゴシック"/>
        <family val="3"/>
        <charset val="128"/>
        <scheme val="minor"/>
      </rPr>
      <t>天食品有限公司</t>
    </r>
  </si>
  <si>
    <r>
      <t>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米酒; 葡萄酒; 伏特加酒;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果酒（含酒精）; </t>
    </r>
    <r>
      <rPr>
        <sz val="11"/>
        <color theme="1"/>
        <rFont val="ＭＳ Ｐゴシック"/>
        <family val="3"/>
        <charset val="134"/>
        <scheme val="minor"/>
      </rPr>
      <t>预调</t>
    </r>
    <r>
      <rPr>
        <sz val="11"/>
        <color theme="1"/>
        <rFont val="ＭＳ Ｐゴシック"/>
        <family val="3"/>
        <charset val="128"/>
        <scheme val="minor"/>
      </rPr>
      <t>甜酒; 含酒精的水果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</si>
  <si>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威士忌;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米酒; 葡萄酒; 白酒; 利口酒;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果酒（含酒精）</t>
    </r>
  </si>
  <si>
    <r>
      <t>儆</t>
    </r>
    <r>
      <rPr>
        <sz val="11"/>
        <color theme="1"/>
        <rFont val="ＭＳ Ｐゴシック"/>
        <family val="3"/>
        <charset val="129"/>
        <scheme val="minor"/>
      </rPr>
      <t>勼</t>
    </r>
  </si>
  <si>
    <r>
      <t>温州儆酒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</si>
  <si>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 xml:space="preserve">葡萄酒; 高粱酒; 白酒; 果酒（含酒精）;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</si>
  <si>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酒小媚</t>
  </si>
  <si>
    <r>
      <t>四川五小将商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</si>
  <si>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清酒; 梅酒; 含酒精的充气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</t>
    </r>
  </si>
  <si>
    <r>
      <t>川浙</t>
    </r>
    <r>
      <rPr>
        <sz val="11"/>
        <color theme="1"/>
        <rFont val="ＭＳ Ｐゴシック"/>
        <family val="3"/>
        <charset val="134"/>
        <scheme val="minor"/>
      </rPr>
      <t>荟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</si>
  <si>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州醇途酒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</si>
  <si>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威士忌; 白酒; 果酒（含酒精）; 米酒;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</si>
  <si>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四川佰宝鹿芝堂中医</t>
    </r>
    <r>
      <rPr>
        <sz val="11"/>
        <color theme="1"/>
        <rFont val="ＭＳ Ｐゴシック"/>
        <family val="3"/>
        <charset val="134"/>
        <scheme val="minor"/>
      </rPr>
      <t>药</t>
    </r>
    <r>
      <rPr>
        <sz val="11"/>
        <color theme="1"/>
        <rFont val="ＭＳ Ｐゴシック"/>
        <family val="3"/>
        <charset val="128"/>
        <scheme val="minor"/>
      </rPr>
      <t>研究有限公司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</si>
  <si>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黄酒; 果酒;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青稞酒; 威士忌</t>
    </r>
  </si>
  <si>
    <r>
      <t>广西巴</t>
    </r>
    <r>
      <rPr>
        <sz val="11"/>
        <color theme="1"/>
        <rFont val="ＭＳ Ｐゴシック"/>
        <family val="3"/>
        <charset val="134"/>
        <scheme val="minor"/>
      </rPr>
      <t>马</t>
    </r>
    <r>
      <rPr>
        <sz val="11"/>
        <color theme="1"/>
        <rFont val="ＭＳ Ｐゴシック"/>
        <family val="3"/>
        <charset val="128"/>
        <scheme val="minor"/>
      </rPr>
      <t>身活源科技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</si>
  <si>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高粱酒;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白干酒（中国白酒）;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烈酒; 清酒;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</t>
    </r>
  </si>
  <si>
    <t>曦和雨</t>
  </si>
  <si>
    <r>
      <t>江</t>
    </r>
    <r>
      <rPr>
        <sz val="11"/>
        <color theme="1"/>
        <rFont val="ＭＳ Ｐゴシック"/>
        <family val="3"/>
        <charset val="134"/>
        <scheme val="minor"/>
      </rPr>
      <t>苏</t>
    </r>
    <r>
      <rPr>
        <sz val="11"/>
        <color theme="1"/>
        <rFont val="ＭＳ Ｐゴシック"/>
        <family val="3"/>
        <charset val="128"/>
        <scheme val="minor"/>
      </rPr>
      <t>曦和雨茶叶有限公司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</si>
  <si>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白酒; 葡萄酒; 黄酒; 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</t>
    </r>
  </si>
  <si>
    <t>玖戊堂</t>
  </si>
  <si>
    <t>德州玖戊健康管理有限公司</t>
  </si>
  <si>
    <r>
      <t>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白酒;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汽酒;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</t>
    </r>
  </si>
  <si>
    <t>XIAOMAOWZ</t>
  </si>
  <si>
    <r>
      <t>赵</t>
    </r>
    <r>
      <rPr>
        <sz val="11"/>
        <color theme="1"/>
        <rFont val="ＭＳ Ｐゴシック"/>
        <family val="3"/>
        <charset val="128"/>
        <scheme val="minor"/>
      </rPr>
      <t>莎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</si>
  <si>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苹果酒; 葡萄酒; 米酒; 黄酒; 果酒（含酒精）;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</si>
  <si>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吉元同</t>
    </r>
    <r>
      <rPr>
        <sz val="11"/>
        <color theme="1"/>
        <rFont val="ＭＳ Ｐゴシック"/>
        <family val="3"/>
        <charset val="134"/>
        <scheme val="minor"/>
      </rPr>
      <t>庆</t>
    </r>
  </si>
  <si>
    <r>
      <t>济</t>
    </r>
    <r>
      <rPr>
        <sz val="11"/>
        <color theme="1"/>
        <rFont val="ＭＳ Ｐゴシック"/>
        <family val="3"/>
        <charset val="128"/>
        <scheme val="minor"/>
      </rPr>
      <t>南</t>
    </r>
    <r>
      <rPr>
        <sz val="11"/>
        <color theme="1"/>
        <rFont val="ＭＳ Ｐゴシック"/>
        <family val="3"/>
        <charset val="134"/>
        <scheme val="minor"/>
      </rPr>
      <t>药</t>
    </r>
    <r>
      <rPr>
        <sz val="11"/>
        <color theme="1"/>
        <rFont val="ＭＳ Ｐゴシック"/>
        <family val="3"/>
        <charset val="128"/>
        <scheme val="minor"/>
      </rPr>
      <t>王谷生物科技有限公司</t>
    </r>
  </si>
  <si>
    <r>
      <t>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薄荷酒; 黄酒; 威士忌;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葡萄酒</t>
    </r>
  </si>
  <si>
    <t>邕江印象</t>
  </si>
  <si>
    <r>
      <t>黄酒; 果酒（含酒精）; 开胃酒; 葡萄酒; 蒸煮提取物（利口酒和烈酒）; 白酒;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</si>
  <si>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宴中逢</t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</si>
  <si>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威士忌; 食用酒精; 果酒（含酒精）; 青稞酒; 白酒; 黄酒; 米酒</t>
    </r>
  </si>
  <si>
    <r>
      <t>欢</t>
    </r>
    <r>
      <rPr>
        <sz val="11"/>
        <color theme="1"/>
        <rFont val="ＭＳ Ｐゴシック"/>
        <family val="3"/>
        <charset val="128"/>
        <scheme val="minor"/>
      </rPr>
      <t>盈</t>
    </r>
    <r>
      <rPr>
        <sz val="11"/>
        <color theme="1"/>
        <rFont val="ＭＳ Ｐゴシック"/>
        <family val="3"/>
        <charset val="134"/>
        <scheme val="minor"/>
      </rPr>
      <t>门</t>
    </r>
  </si>
  <si>
    <r>
      <t>黄酒; 青稞酒; 威士忌;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食用酒精; 米酒; 白酒</t>
    </r>
  </si>
  <si>
    <t>添然集盒</t>
  </si>
  <si>
    <r>
      <t>员</t>
    </r>
    <r>
      <rPr>
        <sz val="11"/>
        <color theme="1"/>
        <rFont val="ＭＳ Ｐゴシック"/>
        <family val="3"/>
        <charset val="128"/>
        <scheme val="minor"/>
      </rPr>
      <t>雪妮</t>
    </r>
  </si>
  <si>
    <t>果酒; 清酒; 开胃酒; 甜酒; 食用酒精; 米酒; 黄酒; 汽酒; 葡萄酒; 白酒</t>
  </si>
  <si>
    <t>内稻</t>
  </si>
  <si>
    <r>
      <t>寻</t>
    </r>
    <r>
      <rPr>
        <sz val="11"/>
        <color theme="1"/>
        <rFont val="ＭＳ Ｐゴシック"/>
        <family val="3"/>
        <charset val="128"/>
        <scheme val="minor"/>
      </rPr>
      <t>世明</t>
    </r>
  </si>
  <si>
    <r>
      <t xml:space="preserve">果酒（含酒精）; 清酒;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高粱酒;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食用酒精; 白酒</t>
    </r>
  </si>
  <si>
    <r>
      <t>酣</t>
    </r>
    <r>
      <rPr>
        <sz val="11"/>
        <color theme="1"/>
        <rFont val="ＭＳ Ｐゴシック"/>
        <family val="3"/>
        <charset val="134"/>
        <scheme val="minor"/>
      </rPr>
      <t>挚</t>
    </r>
  </si>
  <si>
    <t>王利平</t>
  </si>
  <si>
    <r>
      <t xml:space="preserve">白酒; 葡萄酒;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果酒; 清酒;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汽酒; 黄酒</t>
    </r>
  </si>
  <si>
    <t>振匠老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</si>
  <si>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州振</t>
    </r>
    <r>
      <rPr>
        <sz val="11"/>
        <color theme="1"/>
        <rFont val="ＭＳ Ｐゴシック"/>
        <family val="3"/>
        <charset val="134"/>
        <scheme val="minor"/>
      </rPr>
      <t>酱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业销</t>
    </r>
    <r>
      <rPr>
        <sz val="11"/>
        <color theme="1"/>
        <rFont val="ＭＳ Ｐゴシック"/>
        <family val="3"/>
        <charset val="128"/>
        <scheme val="minor"/>
      </rPr>
      <t>售有限公司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</si>
  <si>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蜂蜜酒;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</si>
  <si>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r>
      <t>鑫悦</t>
    </r>
    <r>
      <rPr>
        <sz val="11"/>
        <color theme="1"/>
        <rFont val="ＭＳ Ｐゴシック"/>
        <family val="3"/>
        <charset val="134"/>
        <scheme val="minor"/>
      </rPr>
      <t>诚</t>
    </r>
  </si>
  <si>
    <r>
      <t>鄂</t>
    </r>
    <r>
      <rPr>
        <sz val="11"/>
        <color theme="1"/>
        <rFont val="ＭＳ Ｐゴシック"/>
        <family val="3"/>
        <charset val="134"/>
        <scheme val="minor"/>
      </rPr>
      <t>尔</t>
    </r>
    <r>
      <rPr>
        <sz val="11"/>
        <color theme="1"/>
        <rFont val="ＭＳ Ｐゴシック"/>
        <family val="3"/>
        <charset val="128"/>
        <scheme val="minor"/>
      </rPr>
      <t>多斯市鑫悦</t>
    </r>
    <r>
      <rPr>
        <sz val="11"/>
        <color theme="1"/>
        <rFont val="ＭＳ Ｐゴシック"/>
        <family val="3"/>
        <charset val="134"/>
        <scheme val="minor"/>
      </rPr>
      <t>诚</t>
    </r>
    <r>
      <rPr>
        <sz val="11"/>
        <color theme="1"/>
        <rFont val="ＭＳ Ｐゴシック"/>
        <family val="3"/>
        <charset val="128"/>
        <scheme val="minor"/>
      </rPr>
      <t>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</si>
  <si>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米酒;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青稞酒</t>
    </r>
  </si>
  <si>
    <r>
      <t>隆</t>
    </r>
    <r>
      <rPr>
        <sz val="11"/>
        <color theme="1"/>
        <rFont val="ＭＳ Ｐゴシック"/>
        <family val="3"/>
        <charset val="134"/>
        <scheme val="minor"/>
      </rPr>
      <t>飞</t>
    </r>
    <r>
      <rPr>
        <sz val="11"/>
        <color theme="1"/>
        <rFont val="ＭＳ Ｐゴシック"/>
        <family val="3"/>
        <charset val="128"/>
        <scheme val="minor"/>
      </rPr>
      <t>福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</si>
  <si>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34"/>
        <scheme val="minor"/>
      </rPr>
      <t>语</t>
    </r>
    <r>
      <rPr>
        <sz val="11"/>
        <color theme="1"/>
        <rFont val="ＭＳ Ｐゴシック"/>
        <family val="3"/>
        <charset val="128"/>
        <scheme val="minor"/>
      </rPr>
      <t>隆酒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</si>
  <si>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白酒;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黄酒; 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食用酒精; 清酒</t>
    </r>
  </si>
  <si>
    <r>
      <t>钻</t>
    </r>
    <r>
      <rPr>
        <sz val="11"/>
        <color theme="1"/>
        <rFont val="ＭＳ Ｐゴシック"/>
        <family val="3"/>
        <charset val="128"/>
        <scheme val="minor"/>
      </rPr>
      <t>石潭</t>
    </r>
  </si>
  <si>
    <r>
      <t>河南津泰洹酒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</si>
  <si>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果酒（含酒精）; 米酒</t>
    </r>
  </si>
  <si>
    <r>
      <t>何世</t>
    </r>
    <r>
      <rPr>
        <sz val="11"/>
        <color theme="1"/>
        <rFont val="ＭＳ Ｐゴシック"/>
        <family val="3"/>
        <charset val="134"/>
        <scheme val="minor"/>
      </rPr>
      <t>馏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</si>
  <si>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黄酒; 白酒;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</si>
  <si>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妙百福</t>
  </si>
  <si>
    <r>
      <t>张</t>
    </r>
    <r>
      <rPr>
        <sz val="11"/>
        <color theme="1"/>
        <rFont val="ＭＳ Ｐゴシック"/>
        <family val="3"/>
        <charset val="128"/>
        <scheme val="minor"/>
      </rPr>
      <t>淑元</t>
    </r>
  </si>
  <si>
    <r>
      <t xml:space="preserve">黄酒;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青稞酒; 食用酒精;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</t>
    </r>
  </si>
  <si>
    <t>福粮官</t>
  </si>
  <si>
    <r>
      <t>赵</t>
    </r>
    <r>
      <rPr>
        <sz val="11"/>
        <color theme="1"/>
        <rFont val="ＭＳ Ｐゴシック"/>
        <family val="3"/>
        <charset val="128"/>
        <scheme val="minor"/>
      </rPr>
      <t>玉周</t>
    </r>
  </si>
  <si>
    <r>
      <t xml:space="preserve">黄酒;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清酒（日本米酒）; 烈酒;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威士忌; 葡萄酒</t>
    </r>
  </si>
  <si>
    <r>
      <t>付国</t>
    </r>
    <r>
      <rPr>
        <sz val="11"/>
        <color theme="1"/>
        <rFont val="ＭＳ Ｐゴシック"/>
        <family val="3"/>
        <charset val="134"/>
        <scheme val="minor"/>
      </rPr>
      <t>华</t>
    </r>
  </si>
  <si>
    <r>
      <t>浙江金柏</t>
    </r>
    <r>
      <rPr>
        <sz val="11"/>
        <color theme="1"/>
        <rFont val="ＭＳ Ｐゴシック"/>
        <family val="3"/>
        <charset val="134"/>
        <scheme val="minor"/>
      </rPr>
      <t>岁</t>
    </r>
    <r>
      <rPr>
        <sz val="11"/>
        <color theme="1"/>
        <rFont val="ＭＳ Ｐゴシック"/>
        <family val="3"/>
        <charset val="128"/>
        <scheme val="minor"/>
      </rPr>
      <t>健康管理有限公司</t>
    </r>
  </si>
  <si>
    <r>
      <t>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白干酒（中国白酒）;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白酒;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的白酒; 葡萄酒; 食用酒精;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</t>
    </r>
  </si>
  <si>
    <t>思淳雅集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</si>
  <si>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州沃</t>
    </r>
    <r>
      <rPr>
        <sz val="11"/>
        <color theme="1"/>
        <rFont val="ＭＳ Ｐゴシック"/>
        <family val="3"/>
        <charset val="134"/>
        <scheme val="minor"/>
      </rPr>
      <t>贝</t>
    </r>
    <r>
      <rPr>
        <sz val="11"/>
        <color theme="1"/>
        <rFont val="ＭＳ Ｐゴシック"/>
        <family val="3"/>
        <charset val="128"/>
        <scheme val="minor"/>
      </rPr>
      <t>永道生物科技有限公司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</si>
  <si>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清酒（日本米酒）;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朗姆酒; 葡萄酒; 白酒; 黄酒; 果酒; 米酒</t>
    </r>
  </si>
  <si>
    <t>都泓庄</t>
  </si>
  <si>
    <r>
      <t>珠海市易田文化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播有限公司</t>
    </r>
  </si>
  <si>
    <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食用酒精;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</t>
    </r>
  </si>
  <si>
    <r>
      <t>雅格斯丹集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</si>
  <si>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白酒;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威士忌;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黄酒; 葡萄酒; 蜂蜜酒</t>
    </r>
  </si>
  <si>
    <t>杏竹叙</t>
  </si>
  <si>
    <r>
      <t>高粱酒;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烈酒; 利口酒;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食用酒精;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白酒; 黄酒; 开胃酒</t>
    </r>
  </si>
  <si>
    <t>盈养集盒</t>
  </si>
  <si>
    <t>王雪芳</t>
  </si>
  <si>
    <t>葡萄酒; 食用酒精; 清酒; 开胃酒; 黄酒; 果酒; 汽酒; 甜酒; 白酒; 米酒</t>
  </si>
  <si>
    <r>
      <t>满</t>
    </r>
    <r>
      <rPr>
        <sz val="11"/>
        <color theme="1"/>
        <rFont val="ＭＳ Ｐゴシック"/>
        <family val="3"/>
        <charset val="128"/>
        <scheme val="minor"/>
      </rPr>
      <t>堂似</t>
    </r>
    <r>
      <rPr>
        <sz val="11"/>
        <color theme="1"/>
        <rFont val="ＭＳ Ｐゴシック"/>
        <family val="3"/>
        <charset val="134"/>
        <scheme val="minor"/>
      </rPr>
      <t>锦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</si>
  <si>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苹果酒; 露酒; 餐后酒（利口酒和烈酒）; 米酒;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葡萄酒; 白酒</t>
    </r>
  </si>
  <si>
    <r>
      <t>佳人</t>
    </r>
    <r>
      <rPr>
        <sz val="11"/>
        <color theme="1"/>
        <rFont val="ＭＳ Ｐゴシック"/>
        <family val="3"/>
        <charset val="134"/>
        <scheme val="minor"/>
      </rPr>
      <t>欢</t>
    </r>
  </si>
  <si>
    <r>
      <t>李正</t>
    </r>
    <r>
      <rPr>
        <sz val="11"/>
        <color theme="1"/>
        <rFont val="ＭＳ Ｐゴシック"/>
        <family val="3"/>
        <charset val="134"/>
        <scheme val="minor"/>
      </rPr>
      <t>权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</si>
  <si>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青稞酒; 白酒; 食用酒精; 果酒（含酒精）; 黄酒;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</t>
    </r>
  </si>
  <si>
    <r>
      <t>名</t>
    </r>
    <r>
      <rPr>
        <sz val="11"/>
        <color theme="1"/>
        <rFont val="ＭＳ Ｐゴシック"/>
        <family val="3"/>
        <charset val="134"/>
        <scheme val="minor"/>
      </rPr>
      <t>隐</t>
    </r>
    <r>
      <rPr>
        <sz val="11"/>
        <color theme="1"/>
        <rFont val="ＭＳ Ｐゴシック"/>
        <family val="3"/>
        <charset val="128"/>
        <scheme val="minor"/>
      </rPr>
      <t>堂</t>
    </r>
  </si>
  <si>
    <r>
      <t>赵</t>
    </r>
    <r>
      <rPr>
        <sz val="11"/>
        <color theme="1"/>
        <rFont val="ＭＳ Ｐゴシック"/>
        <family val="3"/>
        <charset val="128"/>
        <scheme val="minor"/>
      </rPr>
      <t>立康</t>
    </r>
  </si>
  <si>
    <t>甜酒; 米酒; 食用酒精; 白酒; 汽酒; 葡萄酒; 黄酒; 开胃酒; 果酒; 清酒</t>
  </si>
  <si>
    <t>内者</t>
  </si>
  <si>
    <r>
      <t>寻</t>
    </r>
    <r>
      <rPr>
        <sz val="11"/>
        <color theme="1"/>
        <rFont val="ＭＳ Ｐゴシック"/>
        <family val="3"/>
        <charset val="129"/>
        <scheme val="minor"/>
      </rPr>
      <t>燊</t>
    </r>
  </si>
  <si>
    <r>
      <t xml:space="preserve">食用酒精; 白酒; 清酒; 烈酒; 果酒（含酒精）; 葡萄酒; 米酒; 黄酒; 高粱酒;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</si>
  <si>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乾醉基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</si>
  <si>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匠鑫坊酒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</si>
  <si>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米酒; 威士忌;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葡萄酒</t>
    </r>
  </si>
  <si>
    <t>伊盟暖城情</t>
  </si>
  <si>
    <r>
      <t>郝</t>
    </r>
    <r>
      <rPr>
        <sz val="11"/>
        <color theme="1"/>
        <rFont val="ＭＳ Ｐゴシック"/>
        <family val="3"/>
        <charset val="134"/>
        <scheme val="minor"/>
      </rPr>
      <t>诗</t>
    </r>
    <r>
      <rPr>
        <sz val="11"/>
        <color theme="1"/>
        <rFont val="ＭＳ Ｐゴシック"/>
        <family val="3"/>
        <charset val="129"/>
        <scheme val="minor"/>
      </rPr>
      <t>洁</t>
    </r>
  </si>
  <si>
    <t>清酒; 青稞酒; 黄酒; 果酒（含酒精）; 食用酒精; 烈酒; 白酒; 葡萄酒; 蜂蜜酒; 米酒</t>
  </si>
  <si>
    <r>
      <t>爱</t>
    </r>
    <r>
      <rPr>
        <sz val="11"/>
        <color theme="1"/>
        <rFont val="ＭＳ Ｐゴシック"/>
        <family val="3"/>
        <charset val="128"/>
        <scheme val="minor"/>
      </rPr>
      <t>德隆</t>
    </r>
  </si>
  <si>
    <r>
      <t>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</t>
    </r>
  </si>
  <si>
    <r>
      <t>赫伯恩精</t>
    </r>
    <r>
      <rPr>
        <sz val="11"/>
        <color theme="1"/>
        <rFont val="ＭＳ Ｐゴシック"/>
        <family val="3"/>
        <charset val="134"/>
        <scheme val="minor"/>
      </rPr>
      <t>选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</si>
  <si>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</si>
  <si>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瑰</t>
    </r>
    <r>
      <rPr>
        <sz val="11"/>
        <color theme="1"/>
        <rFont val="ＭＳ Ｐゴシック"/>
        <family val="3"/>
        <charset val="134"/>
        <scheme val="minor"/>
      </rPr>
      <t>欢</t>
    </r>
  </si>
  <si>
    <r>
      <t>李</t>
    </r>
    <r>
      <rPr>
        <sz val="11"/>
        <color theme="1"/>
        <rFont val="ＭＳ Ｐゴシック"/>
        <family val="3"/>
        <charset val="134"/>
        <scheme val="minor"/>
      </rPr>
      <t>颖</t>
    </r>
  </si>
  <si>
    <r>
      <t xml:space="preserve">食用酒精;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威士忌; 果酒（含酒精）; 青稞酒;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</si>
  <si>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吕</t>
    </r>
    <r>
      <rPr>
        <sz val="11"/>
        <color theme="1"/>
        <rFont val="ＭＳ Ｐゴシック"/>
        <family val="3"/>
        <charset val="128"/>
        <scheme val="minor"/>
      </rPr>
      <t>建斌******************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</si>
  <si>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黄酒;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清酒（日本米酒）; 白酒</t>
    </r>
  </si>
  <si>
    <r>
      <t>耆</t>
    </r>
    <r>
      <rPr>
        <sz val="11"/>
        <color theme="1"/>
        <rFont val="ＭＳ Ｐゴシック"/>
        <family val="3"/>
        <charset val="134"/>
        <scheme val="minor"/>
      </rPr>
      <t>剑</t>
    </r>
    <r>
      <rPr>
        <sz val="11"/>
        <color theme="1"/>
        <rFont val="ＭＳ Ｐゴシック"/>
        <family val="3"/>
        <charset val="128"/>
        <scheme val="minor"/>
      </rPr>
      <t>天山</t>
    </r>
  </si>
  <si>
    <r>
      <t>新疆中</t>
    </r>
    <r>
      <rPr>
        <sz val="11"/>
        <color theme="1"/>
        <rFont val="ＭＳ Ｐゴシック"/>
        <family val="3"/>
        <charset val="134"/>
        <scheme val="minor"/>
      </rPr>
      <t>伟揽</t>
    </r>
    <r>
      <rPr>
        <sz val="11"/>
        <color theme="1"/>
        <rFont val="ＭＳ Ｐゴシック"/>
        <family val="3"/>
        <charset val="129"/>
        <scheme val="minor"/>
      </rPr>
      <t>胜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</si>
  <si>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梨酒;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果酒;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</t>
    </r>
  </si>
  <si>
    <t>散花公主</t>
  </si>
  <si>
    <r>
      <t>广州</t>
    </r>
    <r>
      <rPr>
        <sz val="11"/>
        <color theme="1"/>
        <rFont val="ＭＳ Ｐゴシック"/>
        <family val="3"/>
        <charset val="134"/>
        <scheme val="minor"/>
      </rPr>
      <t>贵酱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</si>
  <si>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白酒; 伏特加酒;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</t>
    </r>
  </si>
  <si>
    <t>SAGEWANG</t>
  </si>
  <si>
    <r>
      <t>康吉</t>
    </r>
    <r>
      <rPr>
        <sz val="11"/>
        <color theme="1"/>
        <rFont val="ＭＳ Ｐゴシック"/>
        <family val="3"/>
        <charset val="134"/>
        <scheme val="minor"/>
      </rPr>
      <t>尔</t>
    </r>
    <r>
      <rPr>
        <sz val="11"/>
        <color theme="1"/>
        <rFont val="ＭＳ Ｐゴシック"/>
        <family val="3"/>
        <charset val="128"/>
        <scheme val="minor"/>
      </rPr>
      <t>科技(深圳)有限公司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</si>
  <si>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米酒;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清酒;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白葡萄酒; 果酒（含酒精）; 伏特加酒; 黄酒</t>
    </r>
  </si>
  <si>
    <r>
      <t>高山</t>
    </r>
    <r>
      <rPr>
        <sz val="11"/>
        <color theme="1"/>
        <rFont val="ＭＳ Ｐゴシック"/>
        <family val="3"/>
        <charset val="134"/>
        <scheme val="minor"/>
      </rPr>
      <t>进</t>
    </r>
    <r>
      <rPr>
        <sz val="11"/>
        <color theme="1"/>
        <rFont val="ＭＳ Ｐゴシック"/>
        <family val="3"/>
        <charset val="128"/>
        <scheme val="minor"/>
      </rPr>
      <t>士</t>
    </r>
  </si>
  <si>
    <r>
      <t>牟</t>
    </r>
    <r>
      <rPr>
        <sz val="11"/>
        <color theme="1"/>
        <rFont val="ＭＳ Ｐゴシック"/>
        <family val="3"/>
        <charset val="129"/>
        <scheme val="minor"/>
      </rPr>
      <t>强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</si>
  <si>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威士忌;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青稞酒; 白酒;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黄酒; 果酒（含酒精）</t>
    </r>
  </si>
  <si>
    <r>
      <t>汉</t>
    </r>
    <r>
      <rPr>
        <sz val="11"/>
        <color theme="1"/>
        <rFont val="ＭＳ Ｐゴシック"/>
        <family val="3"/>
        <charset val="128"/>
        <scheme val="minor"/>
      </rPr>
      <t>影</t>
    </r>
  </si>
  <si>
    <r>
      <t>汉</t>
    </r>
    <r>
      <rPr>
        <sz val="11"/>
        <color theme="1"/>
        <rFont val="ＭＳ Ｐゴシック"/>
        <family val="3"/>
        <charset val="128"/>
        <scheme val="minor"/>
      </rPr>
      <t>中市</t>
    </r>
    <r>
      <rPr>
        <sz val="11"/>
        <color theme="1"/>
        <rFont val="ＭＳ Ｐゴシック"/>
        <family val="3"/>
        <charset val="134"/>
        <scheme val="minor"/>
      </rPr>
      <t>电</t>
    </r>
    <r>
      <rPr>
        <sz val="11"/>
        <color theme="1"/>
        <rFont val="ＭＳ Ｐゴシック"/>
        <family val="3"/>
        <charset val="128"/>
        <scheme val="minor"/>
      </rPr>
      <t>影有限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</si>
  <si>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蜂蜜酒; 开胃酒; 苹果酒;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果酒（含酒精）</t>
    </r>
  </si>
  <si>
    <r>
      <t>添</t>
    </r>
    <r>
      <rPr>
        <sz val="11"/>
        <color theme="1"/>
        <rFont val="ＭＳ Ｐゴシック"/>
        <family val="3"/>
        <charset val="134"/>
        <scheme val="minor"/>
      </rPr>
      <t>欢</t>
    </r>
  </si>
  <si>
    <r>
      <t>卡莫&amp;</t>
    </r>
    <r>
      <rPr>
        <sz val="11"/>
        <color theme="1"/>
        <rFont val="ＭＳ Ｐゴシック"/>
        <family val="3"/>
        <charset val="134"/>
        <scheme val="minor"/>
      </rPr>
      <t>乔</t>
    </r>
    <r>
      <rPr>
        <sz val="11"/>
        <color theme="1"/>
        <rFont val="ＭＳ Ｐゴシック"/>
        <family val="3"/>
        <charset val="128"/>
        <scheme val="minor"/>
      </rPr>
      <t>森有限公司</t>
    </r>
  </si>
  <si>
    <r>
      <t>汽酒; 葡萄酒; 伏特加酒;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果酒（含酒精）; 黄酒; 朗姆酒;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</t>
    </r>
  </si>
  <si>
    <t>井公堂</t>
  </si>
  <si>
    <r>
      <t>潇</t>
    </r>
    <r>
      <rPr>
        <sz val="11"/>
        <color theme="1"/>
        <rFont val="ＭＳ Ｐゴシック"/>
        <family val="3"/>
        <charset val="128"/>
        <scheme val="minor"/>
      </rPr>
      <t>湘医派中医</t>
    </r>
    <r>
      <rPr>
        <sz val="11"/>
        <color theme="1"/>
        <rFont val="ＭＳ Ｐゴシック"/>
        <family val="3"/>
        <charset val="134"/>
        <scheme val="minor"/>
      </rPr>
      <t>药</t>
    </r>
    <r>
      <rPr>
        <sz val="11"/>
        <color theme="1"/>
        <rFont val="ＭＳ Ｐゴシック"/>
        <family val="3"/>
        <charset val="128"/>
        <scheme val="minor"/>
      </rPr>
      <t>研究（深圳）有限公司</t>
    </r>
  </si>
  <si>
    <r>
      <t xml:space="preserve">薄荷酒;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蝮蛇酒; 烈性干酒;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果酒（含酒精）; 苦味酒;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</si>
  <si>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罇品西南</t>
  </si>
  <si>
    <r>
      <t>遵</t>
    </r>
    <r>
      <rPr>
        <sz val="11"/>
        <color theme="1"/>
        <rFont val="ＭＳ Ｐゴシック"/>
        <family val="3"/>
        <charset val="134"/>
        <scheme val="minor"/>
      </rPr>
      <t>义</t>
    </r>
    <r>
      <rPr>
        <sz val="11"/>
        <color theme="1"/>
        <rFont val="ＭＳ Ｐゴシック"/>
        <family val="3"/>
        <charset val="128"/>
        <scheme val="minor"/>
      </rPr>
      <t>鑫和鑫酒</t>
    </r>
    <r>
      <rPr>
        <sz val="11"/>
        <color theme="1"/>
        <rFont val="ＭＳ Ｐゴシック"/>
        <family val="3"/>
        <charset val="134"/>
        <scheme val="minor"/>
      </rPr>
      <t>业销</t>
    </r>
    <r>
      <rPr>
        <sz val="11"/>
        <color theme="1"/>
        <rFont val="ＭＳ Ｐゴシック"/>
        <family val="3"/>
        <charset val="128"/>
        <scheme val="minor"/>
      </rPr>
      <t>售有限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</si>
  <si>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烈酒; 食用酒精;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白酒; 果酒（含酒精）; 黄酒</t>
    </r>
  </si>
  <si>
    <t>朴野李香</t>
  </si>
  <si>
    <r>
      <t>利川市宏</t>
    </r>
    <r>
      <rPr>
        <sz val="11"/>
        <color theme="1"/>
        <rFont val="ＭＳ Ｐゴシック"/>
        <family val="3"/>
        <charset val="134"/>
        <scheme val="minor"/>
      </rPr>
      <t>迈农业发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</si>
  <si>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米酒（泡盛酒）; 果酒（含酒精）;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烈酒; 含酒精的充气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含酒精的水果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蒸煮提取物（利口酒和烈酒）; 白酒</t>
    </r>
  </si>
  <si>
    <t>百春堂</t>
  </si>
  <si>
    <r>
      <t>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上明企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管理咨</t>
    </r>
    <r>
      <rPr>
        <sz val="11"/>
        <color theme="1"/>
        <rFont val="ＭＳ Ｐゴシック"/>
        <family val="3"/>
        <charset val="134"/>
        <scheme val="minor"/>
      </rPr>
      <t>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</si>
  <si>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黄酒; 清酒;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葡萄酒</t>
    </r>
  </si>
  <si>
    <t>KEXIANGLAI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</si>
  <si>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州客想来信息技</t>
    </r>
    <r>
      <rPr>
        <sz val="11"/>
        <color theme="1"/>
        <rFont val="ＭＳ Ｐゴシック"/>
        <family val="3"/>
        <charset val="134"/>
        <scheme val="minor"/>
      </rPr>
      <t>术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</si>
  <si>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清酒（日本米酒）; 黄酒;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蒸煮提取物（利口酒和烈酒）; 葡萄酒;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</si>
  <si>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孔醉仙</t>
  </si>
  <si>
    <r>
      <t>韩鹏</t>
    </r>
    <r>
      <rPr>
        <sz val="11"/>
        <color theme="1"/>
        <rFont val="ＭＳ Ｐゴシック"/>
        <family val="3"/>
        <charset val="128"/>
        <scheme val="minor"/>
      </rPr>
      <t>程</t>
    </r>
  </si>
  <si>
    <r>
      <t xml:space="preserve">白酒; 清酒（日本米酒）; 黄酒;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果酒（含酒精）;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</t>
    </r>
  </si>
  <si>
    <t>香德久</t>
  </si>
  <si>
    <r>
      <t>青</t>
    </r>
    <r>
      <rPr>
        <sz val="11"/>
        <color theme="1"/>
        <rFont val="ＭＳ Ｐゴシック"/>
        <family val="3"/>
        <charset val="134"/>
        <scheme val="minor"/>
      </rPr>
      <t>岛</t>
    </r>
    <r>
      <rPr>
        <sz val="11"/>
        <color theme="1"/>
        <rFont val="ＭＳ Ｐゴシック"/>
        <family val="3"/>
        <charset val="128"/>
        <scheme val="minor"/>
      </rPr>
      <t>香德久茶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</si>
  <si>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开胃酒;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高粱酒; 葡萄酒;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果酒（含酒精）; 黄酒</t>
    </r>
  </si>
  <si>
    <r>
      <t>太公</t>
    </r>
    <r>
      <rPr>
        <sz val="11"/>
        <color theme="1"/>
        <rFont val="ＭＳ Ｐゴシック"/>
        <family val="3"/>
        <charset val="134"/>
        <scheme val="minor"/>
      </rPr>
      <t>赞</t>
    </r>
  </si>
  <si>
    <r>
      <t>日照照有装</t>
    </r>
    <r>
      <rPr>
        <sz val="11"/>
        <color theme="1"/>
        <rFont val="ＭＳ Ｐゴシック"/>
        <family val="3"/>
        <charset val="134"/>
        <scheme val="minor"/>
      </rPr>
      <t>饰</t>
    </r>
    <r>
      <rPr>
        <sz val="11"/>
        <color theme="1"/>
        <rFont val="ＭＳ Ｐゴシック"/>
        <family val="3"/>
        <charset val="128"/>
        <scheme val="minor"/>
      </rPr>
      <t>工程有限公司</t>
    </r>
  </si>
  <si>
    <r>
      <t>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开胃酒; 蜂蜜酒; 朗姆酒; 苹果酒; 汽酒; 薄荷酒; 黄酒; 米酒; 青梅酒</t>
    </r>
  </si>
  <si>
    <r>
      <t>奥美</t>
    </r>
    <r>
      <rPr>
        <sz val="11"/>
        <color theme="1"/>
        <rFont val="ＭＳ Ｐゴシック"/>
        <family val="3"/>
        <charset val="134"/>
        <scheme val="minor"/>
      </rPr>
      <t>兰</t>
    </r>
  </si>
  <si>
    <r>
      <t>扬</t>
    </r>
    <r>
      <rPr>
        <sz val="11"/>
        <color theme="1"/>
        <rFont val="ＭＳ Ｐゴシック"/>
        <family val="3"/>
        <charset val="128"/>
        <scheme val="minor"/>
      </rPr>
      <t>州法克福国</t>
    </r>
    <r>
      <rPr>
        <sz val="11"/>
        <color theme="1"/>
        <rFont val="ＭＳ Ｐゴシック"/>
        <family val="3"/>
        <charset val="134"/>
        <scheme val="minor"/>
      </rPr>
      <t>际贸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</si>
  <si>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威士忌;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伏特加酒;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果酒（含酒精）; 葡萄酒;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蒸煮提取物（利口酒和烈酒）; 汽酒</t>
    </r>
  </si>
  <si>
    <t>浙要</t>
  </si>
  <si>
    <r>
      <t>金沙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白起</t>
    </r>
    <r>
      <rPr>
        <sz val="11"/>
        <color theme="1"/>
        <rFont val="ＭＳ Ｐゴシック"/>
        <family val="3"/>
        <charset val="134"/>
        <scheme val="minor"/>
      </rPr>
      <t>酱</t>
    </r>
    <r>
      <rPr>
        <sz val="11"/>
        <color theme="1"/>
        <rFont val="ＭＳ Ｐゴシック"/>
        <family val="3"/>
        <charset val="128"/>
        <scheme val="minor"/>
      </rPr>
      <t>酒酒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</si>
  <si>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t>听奢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</si>
  <si>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州茗睿</t>
    </r>
    <r>
      <rPr>
        <sz val="11"/>
        <color theme="1"/>
        <rFont val="ＭＳ Ｐゴシック"/>
        <family val="3"/>
        <charset val="134"/>
        <scheme val="minor"/>
      </rPr>
      <t>玺</t>
    </r>
    <r>
      <rPr>
        <sz val="11"/>
        <color theme="1"/>
        <rFont val="ＭＳ Ｐゴシック"/>
        <family val="3"/>
        <charset val="128"/>
        <scheme val="minor"/>
      </rPr>
      <t>企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</si>
  <si>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黄酒; 米酒; 高粱酒; 清酒; 果酒; 葡萄酒; 威士忌;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朗姆酒; 白酒</t>
    </r>
  </si>
  <si>
    <r>
      <t>河北地源酒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</si>
  <si>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 xml:space="preserve">汁; 米酒;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开胃酒;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食用酒精;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</t>
    </r>
  </si>
  <si>
    <r>
      <t>榄</t>
    </r>
    <r>
      <rPr>
        <sz val="11"/>
        <color theme="1"/>
        <rFont val="ＭＳ Ｐゴシック"/>
        <family val="3"/>
        <charset val="128"/>
        <scheme val="minor"/>
      </rPr>
      <t>商</t>
    </r>
  </si>
  <si>
    <t>詹妃倩</t>
  </si>
  <si>
    <r>
      <t>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果酒（含酒精）; 清酒（日本米酒）; 葡萄酒; 米酒; 开胃酒</t>
    </r>
  </si>
  <si>
    <r>
      <t>湖</t>
    </r>
    <r>
      <rPr>
        <sz val="11"/>
        <color theme="1"/>
        <rFont val="ＭＳ Ｐゴシック"/>
        <family val="3"/>
        <charset val="134"/>
        <scheme val="minor"/>
      </rPr>
      <t>啫</t>
    </r>
    <r>
      <rPr>
        <sz val="11"/>
        <color theme="1"/>
        <rFont val="ＭＳ Ｐゴシック"/>
        <family val="3"/>
        <charset val="128"/>
        <scheme val="minor"/>
      </rPr>
      <t>湖</t>
    </r>
    <r>
      <rPr>
        <sz val="11"/>
        <color theme="1"/>
        <rFont val="ＭＳ Ｐゴシック"/>
        <family val="3"/>
        <charset val="129"/>
        <scheme val="minor"/>
      </rPr>
      <t>煲</t>
    </r>
  </si>
  <si>
    <r>
      <t>北京筷客</t>
    </r>
    <r>
      <rPr>
        <sz val="11"/>
        <color theme="1"/>
        <rFont val="ＭＳ Ｐゴシック"/>
        <family val="3"/>
        <charset val="134"/>
        <scheme val="minor"/>
      </rPr>
      <t>乐</t>
    </r>
    <r>
      <rPr>
        <sz val="11"/>
        <color theme="1"/>
        <rFont val="ＭＳ Ｐゴシック"/>
        <family val="3"/>
        <charset val="128"/>
        <scheme val="minor"/>
      </rPr>
      <t>园餐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</si>
  <si>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蒸煮提取物（利口酒和烈酒）; 果酒（含酒精）</t>
    </r>
  </si>
  <si>
    <t>儒海</t>
  </si>
  <si>
    <t>薛林</t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</si>
  <si>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蒸煮提取物（利口酒和烈酒）; 米酒; 白酒;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</si>
  <si>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两心</t>
    </r>
    <r>
      <rPr>
        <sz val="11"/>
        <color theme="1"/>
        <rFont val="ＭＳ Ｐゴシック"/>
        <family val="3"/>
        <charset val="134"/>
        <scheme val="minor"/>
      </rPr>
      <t>欢</t>
    </r>
  </si>
  <si>
    <t>孔祥均</t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</si>
  <si>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白酒; 高粱酒; 白干酒（中国白酒）; 清酒（日本米酒）;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葡萄酒; 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</si>
  <si>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醉暖城</t>
  </si>
  <si>
    <r>
      <t>张</t>
    </r>
    <r>
      <rPr>
        <sz val="11"/>
        <color theme="1"/>
        <rFont val="ＭＳ Ｐゴシック"/>
        <family val="3"/>
        <charset val="128"/>
        <scheme val="minor"/>
      </rPr>
      <t>秒松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</si>
  <si>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黄酒;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</t>
    </r>
  </si>
  <si>
    <r>
      <t>北</t>
    </r>
    <r>
      <rPr>
        <sz val="11"/>
        <color theme="1"/>
        <rFont val="ＭＳ Ｐゴシック"/>
        <family val="3"/>
        <charset val="134"/>
        <scheme val="minor"/>
      </rPr>
      <t>张记</t>
    </r>
  </si>
  <si>
    <r>
      <t>河南</t>
    </r>
    <r>
      <rPr>
        <sz val="11"/>
        <color theme="1"/>
        <rFont val="ＭＳ Ｐゴシック"/>
        <family val="3"/>
        <charset val="134"/>
        <scheme val="minor"/>
      </rPr>
      <t>坛</t>
    </r>
    <r>
      <rPr>
        <sz val="11"/>
        <color theme="1"/>
        <rFont val="ＭＳ Ｐゴシック"/>
        <family val="3"/>
        <charset val="128"/>
        <scheme val="minor"/>
      </rPr>
      <t>酒酒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</si>
  <si>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葡萄酒;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果酒; 开胃酒</t>
    </r>
  </si>
  <si>
    <t>ZOZOTIME</t>
  </si>
  <si>
    <r>
      <t>佛山市阳肌</t>
    </r>
    <r>
      <rPr>
        <sz val="11"/>
        <color theme="1"/>
        <rFont val="ＭＳ Ｐゴシック"/>
        <family val="3"/>
        <charset val="134"/>
        <scheme val="minor"/>
      </rPr>
      <t>电</t>
    </r>
    <r>
      <rPr>
        <sz val="11"/>
        <color theme="1"/>
        <rFont val="ＭＳ Ｐゴシック"/>
        <family val="3"/>
        <charset val="128"/>
        <scheme val="minor"/>
      </rPr>
      <t>子商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</si>
  <si>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薄荷酒;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蜂蜜酒;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利口酒</t>
    </r>
  </si>
  <si>
    <r>
      <t>无</t>
    </r>
    <r>
      <rPr>
        <sz val="11"/>
        <color theme="1"/>
        <rFont val="ＭＳ Ｐゴシック"/>
        <family val="3"/>
        <charset val="134"/>
        <scheme val="minor"/>
      </rPr>
      <t>岚</t>
    </r>
  </si>
  <si>
    <r>
      <t>丰城久味</t>
    </r>
    <r>
      <rPr>
        <sz val="11"/>
        <color theme="1"/>
        <rFont val="ＭＳ Ｐゴシック"/>
        <family val="3"/>
        <charset val="134"/>
        <scheme val="minor"/>
      </rPr>
      <t>电</t>
    </r>
    <r>
      <rPr>
        <sz val="11"/>
        <color theme="1"/>
        <rFont val="ＭＳ Ｐゴシック"/>
        <family val="3"/>
        <charset val="128"/>
        <scheme val="minor"/>
      </rPr>
      <t>子商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</si>
  <si>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清酒; 露酒;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>酒;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威士忌; 葡萄酒; 梅酒; 黄酒</t>
    </r>
  </si>
  <si>
    <r>
      <t>湄</t>
    </r>
    <r>
      <rPr>
        <sz val="11"/>
        <color theme="1"/>
        <rFont val="ＭＳ Ｐゴシック"/>
        <family val="3"/>
        <charset val="134"/>
        <scheme val="minor"/>
      </rPr>
      <t>岛</t>
    </r>
    <r>
      <rPr>
        <sz val="11"/>
        <color theme="1"/>
        <rFont val="ＭＳ Ｐゴシック"/>
        <family val="3"/>
        <charset val="128"/>
        <scheme val="minor"/>
      </rPr>
      <t>玉液</t>
    </r>
  </si>
  <si>
    <r>
      <t>莆田市秀</t>
    </r>
    <r>
      <rPr>
        <sz val="11"/>
        <color theme="1"/>
        <rFont val="ＭＳ Ｐゴシック"/>
        <family val="3"/>
        <charset val="134"/>
        <scheme val="minor"/>
      </rPr>
      <t>屿</t>
    </r>
    <r>
      <rPr>
        <sz val="11"/>
        <color theme="1"/>
        <rFont val="ＭＳ Ｐゴシック"/>
        <family val="3"/>
        <charset val="128"/>
        <scheme val="minor"/>
      </rPr>
      <t>区笏石</t>
    </r>
    <r>
      <rPr>
        <sz val="11"/>
        <color theme="1"/>
        <rFont val="ＭＳ Ｐゴシック"/>
        <family val="3"/>
        <charset val="134"/>
        <scheme val="minor"/>
      </rPr>
      <t>兴锋</t>
    </r>
    <r>
      <rPr>
        <sz val="11"/>
        <color theme="1"/>
        <rFont val="ＭＳ Ｐゴシック"/>
        <family val="3"/>
        <charset val="128"/>
        <scheme val="minor"/>
      </rPr>
      <t>建材厂</t>
    </r>
  </si>
  <si>
    <r>
      <t>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青稞酒; 梨酒; 葡萄酒; 白酒;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</si>
  <si>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BIODEX</t>
  </si>
  <si>
    <r>
      <t>上海</t>
    </r>
    <r>
      <rPr>
        <sz val="11"/>
        <color theme="1"/>
        <rFont val="ＭＳ Ｐゴシック"/>
        <family val="3"/>
        <charset val="134"/>
        <scheme val="minor"/>
      </rPr>
      <t>华灏</t>
    </r>
    <r>
      <rPr>
        <sz val="11"/>
        <color theme="1"/>
        <rFont val="ＭＳ Ｐゴシック"/>
        <family val="3"/>
        <charset val="128"/>
        <scheme val="minor"/>
      </rPr>
      <t>化学有限公司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</si>
  <si>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威士忌; 白酒;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果酒（含酒精）; 黄酒; 食用酒精; 伏特加酒</t>
    </r>
  </si>
  <si>
    <t>九蟒醇</t>
  </si>
  <si>
    <r>
      <t>重</t>
    </r>
    <r>
      <rPr>
        <sz val="11"/>
        <color theme="1"/>
        <rFont val="ＭＳ Ｐゴシック"/>
        <family val="3"/>
        <charset val="134"/>
        <scheme val="minor"/>
      </rPr>
      <t>庆</t>
    </r>
    <r>
      <rPr>
        <sz val="11"/>
        <color theme="1"/>
        <rFont val="ＭＳ Ｐゴシック"/>
        <family val="3"/>
        <charset val="128"/>
        <scheme val="minor"/>
      </rPr>
      <t>市姚氏酒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</si>
  <si>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白酒; 食用酒精; 果酒（含酒精）; 伏特加酒;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朗姆酒; 黄酒; 米酒; 葡萄酒; 清酒（日本米酒）</t>
    </r>
  </si>
  <si>
    <t>米慈</t>
  </si>
  <si>
    <r>
      <t>南京天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国</t>
    </r>
    <r>
      <rPr>
        <sz val="11"/>
        <color theme="1"/>
        <rFont val="ＭＳ Ｐゴシック"/>
        <family val="3"/>
        <charset val="134"/>
        <scheme val="minor"/>
      </rPr>
      <t>际贸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</si>
  <si>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黄酒; 果酒（含酒精）; 白酒</t>
    </r>
  </si>
  <si>
    <t>太阳之手</t>
  </si>
  <si>
    <t>周真德</t>
  </si>
  <si>
    <r>
      <t xml:space="preserve">葡萄酒; 清酒（日本米酒）;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食用酒精; 果酒; 伏特加酒;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威士忌; 白酒</t>
    </r>
  </si>
  <si>
    <r>
      <t>清</t>
    </r>
    <r>
      <rPr>
        <sz val="11"/>
        <color theme="1"/>
        <rFont val="ＭＳ Ｐゴシック"/>
        <family val="3"/>
        <charset val="134"/>
        <scheme val="minor"/>
      </rPr>
      <t>蕴经</t>
    </r>
    <r>
      <rPr>
        <sz val="11"/>
        <color theme="1"/>
        <rFont val="ＭＳ Ｐゴシック"/>
        <family val="3"/>
        <charset val="128"/>
        <scheme val="minor"/>
      </rPr>
      <t>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</si>
  <si>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食用酒精;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葡萄酒; 伏特加酒;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</t>
    </r>
  </si>
  <si>
    <r>
      <t>长</t>
    </r>
    <r>
      <rPr>
        <sz val="11"/>
        <color theme="1"/>
        <rFont val="ＭＳ Ｐゴシック"/>
        <family val="3"/>
        <charset val="128"/>
        <scheme val="minor"/>
      </rPr>
      <t>江迹</t>
    </r>
    <r>
      <rPr>
        <sz val="11"/>
        <color theme="1"/>
        <rFont val="ＭＳ Ｐゴシック"/>
        <family val="3"/>
        <charset val="134"/>
        <scheme val="minor"/>
      </rPr>
      <t>忆</t>
    </r>
  </si>
  <si>
    <r>
      <t>赵</t>
    </r>
    <r>
      <rPr>
        <sz val="11"/>
        <color theme="1"/>
        <rFont val="ＭＳ Ｐゴシック"/>
        <family val="3"/>
        <charset val="128"/>
        <scheme val="minor"/>
      </rPr>
      <t>云慕</t>
    </r>
  </si>
  <si>
    <r>
      <t>黄酒; 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威士忌; 果酒; 葡萄酒; 米酒; 白酒; 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</si>
  <si>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听福</t>
    </r>
    <r>
      <rPr>
        <sz val="11"/>
        <color theme="1"/>
        <rFont val="ＭＳ Ｐゴシック"/>
        <family val="3"/>
        <charset val="134"/>
        <scheme val="minor"/>
      </rPr>
      <t>贵</t>
    </r>
  </si>
  <si>
    <t>潘利娜</t>
  </si>
  <si>
    <r>
      <t xml:space="preserve">烈酒; 青稞酒;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的白酒; 白酒; 米酒; 白干酒（中国白酒）;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蒸煮提取物（利口酒和烈酒）</t>
    </r>
  </si>
  <si>
    <t>竹翠微</t>
  </si>
  <si>
    <r>
      <t>黄正</t>
    </r>
    <r>
      <rPr>
        <sz val="11"/>
        <color theme="1"/>
        <rFont val="ＭＳ Ｐゴシック"/>
        <family val="3"/>
        <charset val="134"/>
        <scheme val="minor"/>
      </rPr>
      <t>华</t>
    </r>
  </si>
  <si>
    <r>
      <t>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梅酒;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清酒（日本米酒）; 开胃酒; 米酒; 高粱酒</t>
    </r>
  </si>
  <si>
    <r>
      <t>思</t>
    </r>
    <r>
      <rPr>
        <sz val="11"/>
        <color theme="1"/>
        <rFont val="ＭＳ Ｐゴシック"/>
        <family val="3"/>
        <charset val="134"/>
        <scheme val="minor"/>
      </rPr>
      <t>风</t>
    </r>
    <r>
      <rPr>
        <sz val="11"/>
        <color theme="1"/>
        <rFont val="ＭＳ Ｐゴシック"/>
        <family val="3"/>
        <charset val="128"/>
        <scheme val="minor"/>
      </rPr>
      <t>寨</t>
    </r>
  </si>
  <si>
    <r>
      <t>重</t>
    </r>
    <r>
      <rPr>
        <sz val="11"/>
        <color theme="1"/>
        <rFont val="ＭＳ Ｐゴシック"/>
        <family val="3"/>
        <charset val="134"/>
        <scheme val="minor"/>
      </rPr>
      <t>庆</t>
    </r>
    <r>
      <rPr>
        <sz val="11"/>
        <color theme="1"/>
        <rFont val="ＭＳ Ｐゴシック"/>
        <family val="3"/>
        <charset val="128"/>
        <scheme val="minor"/>
      </rPr>
      <t>市</t>
    </r>
    <r>
      <rPr>
        <sz val="11"/>
        <color theme="1"/>
        <rFont val="ＭＳ Ｐゴシック"/>
        <family val="3"/>
        <charset val="134"/>
        <scheme val="minor"/>
      </rPr>
      <t>长</t>
    </r>
    <r>
      <rPr>
        <sz val="11"/>
        <color theme="1"/>
        <rFont val="ＭＳ Ｐゴシック"/>
        <family val="3"/>
        <charset val="128"/>
        <scheme val="minor"/>
      </rPr>
      <t>寿区奕春磊</t>
    </r>
    <r>
      <rPr>
        <sz val="11"/>
        <color theme="1"/>
        <rFont val="ＭＳ Ｐゴシック"/>
        <family val="3"/>
        <charset val="134"/>
        <scheme val="minor"/>
      </rPr>
      <t>农业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</si>
  <si>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白酒; 开胃酒;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</si>
  <si>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金</t>
    </r>
    <r>
      <rPr>
        <sz val="11"/>
        <color theme="1"/>
        <rFont val="ＭＳ Ｐゴシック"/>
        <family val="3"/>
        <charset val="134"/>
        <scheme val="minor"/>
      </rPr>
      <t>鱼</t>
    </r>
    <r>
      <rPr>
        <sz val="11"/>
        <color theme="1"/>
        <rFont val="ＭＳ Ｐゴシック"/>
        <family val="3"/>
        <charset val="128"/>
        <scheme val="minor"/>
      </rPr>
      <t>竿</t>
    </r>
  </si>
  <si>
    <r>
      <t>黄</t>
    </r>
    <r>
      <rPr>
        <sz val="11"/>
        <color theme="1"/>
        <rFont val="ＭＳ Ｐゴシック"/>
        <family val="3"/>
        <charset val="134"/>
        <scheme val="minor"/>
      </rPr>
      <t>进</t>
    </r>
    <r>
      <rPr>
        <sz val="11"/>
        <color theme="1"/>
        <rFont val="ＭＳ Ｐゴシック"/>
        <family val="3"/>
        <charset val="128"/>
        <scheme val="minor"/>
      </rPr>
      <t>中</t>
    </r>
  </si>
  <si>
    <r>
      <t>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蒸煮提取物（利口酒和烈酒）;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高粱酒;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白酒; 青稞酒; 葡萄酒</t>
    </r>
  </si>
  <si>
    <t>JENDES</t>
  </si>
  <si>
    <t>真和信全球控股有限公司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</si>
  <si>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白酒; 米酒; 伏特加酒;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威士忌; 黄酒; 果酒（含酒精）</t>
    </r>
  </si>
  <si>
    <t>WAY DOWN THE MOUNTAIN</t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</si>
  <si>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威士忌</t>
    </r>
  </si>
  <si>
    <t>侍府家</t>
  </si>
  <si>
    <r>
      <t>侍行</t>
    </r>
    <r>
      <rPr>
        <sz val="11"/>
        <color theme="1"/>
        <rFont val="ＭＳ Ｐゴシック"/>
        <family val="3"/>
        <charset val="134"/>
        <scheme val="minor"/>
      </rPr>
      <t>飞</t>
    </r>
  </si>
  <si>
    <r>
      <t>果酒（含酒精）; 苹果酒;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白酒;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利口酒;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开胃酒</t>
    </r>
  </si>
  <si>
    <t>融弈善</t>
  </si>
  <si>
    <r>
      <t>张</t>
    </r>
    <r>
      <rPr>
        <sz val="11"/>
        <color theme="1"/>
        <rFont val="ＭＳ Ｐゴシック"/>
        <family val="3"/>
        <charset val="128"/>
        <scheme val="minor"/>
      </rPr>
      <t>秀忠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</si>
  <si>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白酒;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清酒（日本米酒）; 米酒; 果酒; 黄酒; 葡萄酒; 蒸煮提取物（利口酒和烈酒）</t>
    </r>
  </si>
  <si>
    <r>
      <t>如意</t>
    </r>
    <r>
      <rPr>
        <sz val="11"/>
        <color theme="1"/>
        <rFont val="ＭＳ Ｐゴシック"/>
        <family val="3"/>
        <charset val="134"/>
        <scheme val="minor"/>
      </rPr>
      <t>寻</t>
    </r>
  </si>
  <si>
    <r>
      <t>李</t>
    </r>
    <r>
      <rPr>
        <sz val="11"/>
        <color theme="1"/>
        <rFont val="ＭＳ Ｐゴシック"/>
        <family val="3"/>
        <charset val="134"/>
        <scheme val="minor"/>
      </rPr>
      <t>伟华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</si>
  <si>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露酒; 白酒; 烈酒; 伏特加酒; 米酒; 朗姆酒</t>
    </r>
  </si>
  <si>
    <r>
      <t>逍遥</t>
    </r>
    <r>
      <rPr>
        <sz val="11"/>
        <color theme="1"/>
        <rFont val="ＭＳ Ｐゴシック"/>
        <family val="3"/>
        <charset val="134"/>
        <scheme val="minor"/>
      </rPr>
      <t>问</t>
    </r>
  </si>
  <si>
    <r>
      <t xml:space="preserve">黄酒;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朗姆酒; 露酒;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烈酒; 伏特加酒;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</t>
    </r>
  </si>
  <si>
    <r>
      <t>谢</t>
    </r>
    <r>
      <rPr>
        <sz val="11"/>
        <color theme="1"/>
        <rFont val="ＭＳ Ｐゴシック"/>
        <family val="3"/>
        <charset val="128"/>
        <scheme val="minor"/>
      </rPr>
      <t>法才</t>
    </r>
  </si>
  <si>
    <r>
      <t>佛山市鎏鑫鼎商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</si>
  <si>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红</t>
    </r>
    <r>
      <rPr>
        <sz val="11"/>
        <color theme="1"/>
        <rFont val="ＭＳ Ｐゴシック"/>
        <family val="3"/>
        <charset val="128"/>
        <scheme val="minor"/>
      </rPr>
      <t>葡萄酒;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白葡萄酒; 白酒; 黄酒; 米酒; 起泡白葡萄酒;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</si>
  <si>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雪知花心</t>
  </si>
  <si>
    <r>
      <t>薛世</t>
    </r>
    <r>
      <rPr>
        <sz val="11"/>
        <color theme="1"/>
        <rFont val="ＭＳ Ｐゴシック"/>
        <family val="3"/>
        <charset val="134"/>
        <scheme val="minor"/>
      </rPr>
      <t>刚</t>
    </r>
  </si>
  <si>
    <r>
      <t>烈酒; 黄酒; 果酒（含酒精）; 利口酒; 葡萄酒;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甜酒;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</t>
    </r>
  </si>
  <si>
    <t>尊粮老酒庄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</si>
  <si>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市尊粮酒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</si>
  <si>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黄酒; 开胃酒; 葡萄酒; 米酒; 蒸煮提取物（利口酒和烈酒）; 果酒（含酒精）; 清酒;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</si>
  <si>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首魂</t>
  </si>
  <si>
    <t>汪加豪</t>
  </si>
  <si>
    <r>
      <t xml:space="preserve">果酒（含酒精）; 黄酒; 烈酒;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米酒; 高粱酒; 清酒; 露酒</t>
    </r>
  </si>
  <si>
    <t>丰呄</t>
  </si>
  <si>
    <r>
      <t>江</t>
    </r>
    <r>
      <rPr>
        <sz val="11"/>
        <color theme="1"/>
        <rFont val="ＭＳ Ｐゴシック"/>
        <family val="3"/>
        <charset val="134"/>
        <scheme val="minor"/>
      </rPr>
      <t>苏</t>
    </r>
    <r>
      <rPr>
        <sz val="11"/>
        <color theme="1"/>
        <rFont val="ＭＳ Ｐゴシック"/>
        <family val="3"/>
        <charset val="128"/>
        <scheme val="minor"/>
      </rPr>
      <t>丰</t>
    </r>
    <r>
      <rPr>
        <sz val="11"/>
        <color theme="1"/>
        <rFont val="ＭＳ Ｐゴシック"/>
        <family val="3"/>
        <charset val="134"/>
        <scheme val="minor"/>
      </rPr>
      <t>临门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</si>
  <si>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薄荷酒; 白酒; 果酒（含酒精）;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威士忌; 米酒; 黄酒; 蜂蜜酒; 葡萄酒</t>
    </r>
  </si>
  <si>
    <t>坦洋情</t>
  </si>
  <si>
    <r>
      <t>福建宁德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坦洋茶叶有限公司</t>
    </r>
  </si>
  <si>
    <r>
      <t xml:space="preserve">苹果酒; 威士忌;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 xml:space="preserve">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汽酒; 葡萄酒; 果酒; 米酒; 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</si>
  <si>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湘窖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匠天星</t>
    </r>
  </si>
  <si>
    <r>
      <t>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果酒（含酒精）;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利口酒; 威士忌</t>
    </r>
  </si>
  <si>
    <r>
      <t>南裕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白酒</t>
    </r>
  </si>
  <si>
    <r>
      <t>北京隆</t>
    </r>
    <r>
      <rPr>
        <sz val="11"/>
        <color theme="1"/>
        <rFont val="ＭＳ Ｐゴシック"/>
        <family val="3"/>
        <charset val="134"/>
        <scheme val="minor"/>
      </rPr>
      <t>兴</t>
    </r>
    <r>
      <rPr>
        <sz val="11"/>
        <color theme="1"/>
        <rFont val="ＭＳ Ｐゴシック"/>
        <family val="3"/>
        <charset val="128"/>
        <scheme val="minor"/>
      </rPr>
      <t>号方庄酒厂有限公司</t>
    </r>
  </si>
  <si>
    <t>衢佬倌</t>
  </si>
  <si>
    <t>王峰</t>
  </si>
  <si>
    <r>
      <t xml:space="preserve">黄酒;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伏特加酒; 米酒</t>
    </r>
  </si>
  <si>
    <t>猜拳猫</t>
  </si>
  <si>
    <r>
      <t>河南兀迪精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啤酒有限公司</t>
    </r>
  </si>
  <si>
    <r>
      <t>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伏特加酒; 米酒; 蜂蜜酒; 白酒; 葡萄酒; 混合威士忌酒;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</si>
  <si>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岁</t>
    </r>
    <r>
      <rPr>
        <sz val="11"/>
        <color theme="1"/>
        <rFont val="ＭＳ Ｐゴシック"/>
        <family val="3"/>
        <charset val="128"/>
        <scheme val="minor"/>
      </rPr>
      <t>活力</t>
    </r>
  </si>
  <si>
    <r>
      <t>西安苗老吉医</t>
    </r>
    <r>
      <rPr>
        <sz val="11"/>
        <color theme="1"/>
        <rFont val="ＭＳ Ｐゴシック"/>
        <family val="3"/>
        <charset val="134"/>
        <scheme val="minor"/>
      </rPr>
      <t>药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</si>
  <si>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 xml:space="preserve">烈酒;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黄酒; 食用酒精; 果酒;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青稞酒</t>
    </r>
  </si>
  <si>
    <r>
      <t>穗品</t>
    </r>
    <r>
      <rPr>
        <sz val="11"/>
        <color theme="1"/>
        <rFont val="ＭＳ Ｐゴシック"/>
        <family val="3"/>
        <charset val="134"/>
        <scheme val="minor"/>
      </rPr>
      <t>鲜</t>
    </r>
  </si>
  <si>
    <r>
      <t>广州市</t>
    </r>
    <r>
      <rPr>
        <sz val="11"/>
        <color theme="1"/>
        <rFont val="ＭＳ Ｐゴシック"/>
        <family val="3"/>
        <charset val="134"/>
        <scheme val="minor"/>
      </rPr>
      <t>诚</t>
    </r>
    <r>
      <rPr>
        <sz val="11"/>
        <color theme="1"/>
        <rFont val="ＭＳ Ｐゴシック"/>
        <family val="3"/>
        <charset val="128"/>
        <scheme val="minor"/>
      </rPr>
      <t>安食品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</si>
  <si>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 xml:space="preserve">黄酒;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果酒;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</t>
    </r>
  </si>
  <si>
    <r>
      <t>梁品</t>
    </r>
    <r>
      <rPr>
        <sz val="11"/>
        <color theme="1"/>
        <rFont val="ＭＳ Ｐゴシック"/>
        <family val="3"/>
        <charset val="134"/>
        <scheme val="minor"/>
      </rPr>
      <t>师</t>
    </r>
  </si>
  <si>
    <r>
      <t xml:space="preserve">葡萄酒;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清酒; 果酒（含酒精）;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</si>
  <si>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诚</t>
    </r>
    <r>
      <rPr>
        <sz val="11"/>
        <color theme="1"/>
        <rFont val="ＭＳ Ｐゴシック"/>
        <family val="3"/>
        <charset val="128"/>
        <scheme val="minor"/>
      </rPr>
      <t>檀酒</t>
    </r>
  </si>
  <si>
    <t>蔡令兵</t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</si>
  <si>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开胃酒; 蒸煮提取物（利口酒和烈酒）;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清酒（日本米酒）; 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</si>
  <si>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南洋万</t>
    </r>
    <r>
      <rPr>
        <sz val="11"/>
        <color theme="1"/>
        <rFont val="ＭＳ Ｐゴシック"/>
        <family val="3"/>
        <charset val="134"/>
        <scheme val="minor"/>
      </rPr>
      <t>语</t>
    </r>
    <r>
      <rPr>
        <sz val="11"/>
        <color theme="1"/>
        <rFont val="ＭＳ Ｐゴシック"/>
        <family val="3"/>
        <charset val="128"/>
        <scheme val="minor"/>
      </rPr>
      <t>千言</t>
    </r>
  </si>
  <si>
    <r>
      <t>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食用酒精; 葡萄酒; 果酒（含酒精）; 开胃酒; 米酒</t>
    </r>
  </si>
  <si>
    <r>
      <t>醉美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方</t>
    </r>
    <r>
      <rPr>
        <sz val="11"/>
        <color theme="1"/>
        <rFont val="ＭＳ Ｐゴシック"/>
        <family val="3"/>
        <charset val="134"/>
        <scheme val="minor"/>
      </rPr>
      <t>坛</t>
    </r>
  </si>
  <si>
    <t>黄川</t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</si>
  <si>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高粱酒; 清酒（日本米酒）; 葡萄酒; 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白干酒（中国白酒）</t>
    </r>
  </si>
  <si>
    <t>江南气概</t>
  </si>
  <si>
    <r>
      <t>米酒; 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威士忌;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清酒; 葡萄酒; 黄酒; 白酒</t>
    </r>
  </si>
  <si>
    <t>乾炎</t>
  </si>
  <si>
    <r>
      <t>白酒; 葡萄酒;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甘蔗制烈酒;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</t>
    </r>
  </si>
  <si>
    <r>
      <t>南山裕</t>
    </r>
    <r>
      <rPr>
        <sz val="11"/>
        <color theme="1"/>
        <rFont val="ＭＳ Ｐゴシック"/>
        <family val="3"/>
        <charset val="134"/>
        <scheme val="minor"/>
      </rPr>
      <t>龙</t>
    </r>
  </si>
  <si>
    <r>
      <t>南山集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</si>
  <si>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清酒（日本米酒）; 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黄酒; 食用酒精;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伏特加酒; 青稞酒;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 xml:space="preserve">汁;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</si>
  <si>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r>
      <t>贵鸿图</t>
    </r>
    <r>
      <rPr>
        <sz val="11"/>
        <color theme="1"/>
        <rFont val="ＭＳ Ｐゴシック"/>
        <family val="3"/>
        <charset val="128"/>
        <scheme val="minor"/>
      </rPr>
      <t>王家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坊</t>
    </r>
  </si>
  <si>
    <r>
      <t>波</t>
    </r>
    <r>
      <rPr>
        <sz val="11"/>
        <color theme="1"/>
        <rFont val="ＭＳ Ｐゴシック"/>
        <family val="3"/>
        <charset val="134"/>
        <scheme val="minor"/>
      </rPr>
      <t>尔</t>
    </r>
    <r>
      <rPr>
        <sz val="11"/>
        <color theme="1"/>
        <rFont val="ＭＳ Ｐゴシック"/>
        <family val="3"/>
        <charset val="128"/>
        <scheme val="minor"/>
      </rPr>
      <t>多吉洛（厦</t>
    </r>
    <r>
      <rPr>
        <sz val="11"/>
        <color theme="1"/>
        <rFont val="ＭＳ Ｐゴシック"/>
        <family val="3"/>
        <charset val="134"/>
        <scheme val="minor"/>
      </rPr>
      <t>门</t>
    </r>
    <r>
      <rPr>
        <sz val="11"/>
        <color theme="1"/>
        <rFont val="ＭＳ Ｐゴシック"/>
        <family val="3"/>
        <charset val="128"/>
        <scheme val="minor"/>
      </rPr>
      <t>）</t>
    </r>
    <r>
      <rPr>
        <sz val="11"/>
        <color theme="1"/>
        <rFont val="ＭＳ Ｐゴシック"/>
        <family val="3"/>
        <charset val="134"/>
        <scheme val="minor"/>
      </rPr>
      <t>进</t>
    </r>
    <r>
      <rPr>
        <sz val="11"/>
        <color theme="1"/>
        <rFont val="ＭＳ Ｐゴシック"/>
        <family val="3"/>
        <charset val="128"/>
        <scheme val="minor"/>
      </rPr>
      <t>出口有限公司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</si>
  <si>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米酒;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食用酒精; 清酒（日本米酒）; 葡萄酒</t>
    </r>
  </si>
  <si>
    <r>
      <t>实</t>
    </r>
    <r>
      <rPr>
        <sz val="11"/>
        <color theme="1"/>
        <rFont val="ＭＳ Ｐゴシック"/>
        <family val="3"/>
        <charset val="128"/>
        <scheme val="minor"/>
      </rPr>
      <t>待</t>
    </r>
  </si>
  <si>
    <r>
      <t>杨</t>
    </r>
    <r>
      <rPr>
        <sz val="11"/>
        <color theme="1"/>
        <rFont val="ＭＳ Ｐゴシック"/>
        <family val="3"/>
        <charset val="128"/>
        <scheme val="minor"/>
      </rPr>
      <t>波</t>
    </r>
  </si>
  <si>
    <r>
      <t>白酒; 葡萄酒;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食用酒精; 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蒸煮提取物（利口酒和烈酒）</t>
    </r>
  </si>
  <si>
    <t>渝杜仙</t>
  </si>
  <si>
    <t>何菊</t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</si>
  <si>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 xml:space="preserve">梅酒; 米酒; 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甜酒; 葡萄酒; 汽酒</t>
    </r>
  </si>
  <si>
    <r>
      <t>冻</t>
    </r>
    <r>
      <rPr>
        <sz val="11"/>
        <color theme="1"/>
        <rFont val="ＭＳ Ｐゴシック"/>
        <family val="3"/>
        <charset val="128"/>
        <scheme val="minor"/>
      </rPr>
      <t>仔派</t>
    </r>
    <r>
      <rPr>
        <sz val="11"/>
        <color theme="1"/>
        <rFont val="ＭＳ Ｐゴシック"/>
        <family val="3"/>
        <charset val="134"/>
        <scheme val="minor"/>
      </rPr>
      <t>对</t>
    </r>
  </si>
  <si>
    <r>
      <t>广</t>
    </r>
    <r>
      <rPr>
        <sz val="11"/>
        <color theme="1"/>
        <rFont val="ＭＳ Ｐゴシック"/>
        <family val="3"/>
        <charset val="134"/>
        <scheme val="minor"/>
      </rPr>
      <t>东亿联</t>
    </r>
    <r>
      <rPr>
        <sz val="11"/>
        <color theme="1"/>
        <rFont val="ＭＳ Ｐゴシック"/>
        <family val="3"/>
        <charset val="128"/>
        <scheme val="minor"/>
      </rPr>
      <t>食品科技有限公司</t>
    </r>
  </si>
  <si>
    <r>
      <t>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果酒; 含酒精的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尾酒混合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品;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梅酒;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果酒（含酒精）; 薄荷酒</t>
    </r>
  </si>
  <si>
    <t>星德泰</t>
  </si>
  <si>
    <r>
      <t>张</t>
    </r>
    <r>
      <rPr>
        <sz val="11"/>
        <color theme="1"/>
        <rFont val="ＭＳ Ｐゴシック"/>
        <family val="3"/>
        <charset val="128"/>
        <scheme val="minor"/>
      </rPr>
      <t>宝成</t>
    </r>
  </si>
  <si>
    <r>
      <t>白酒;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蒸煮提取物（利口酒和烈酒）; 葡萄酒</t>
    </r>
  </si>
  <si>
    <r>
      <t>索拉</t>
    </r>
    <r>
      <rPr>
        <sz val="11"/>
        <color theme="1"/>
        <rFont val="ＭＳ Ｐゴシック"/>
        <family val="3"/>
        <charset val="134"/>
        <scheme val="minor"/>
      </rPr>
      <t>诺</t>
    </r>
    <r>
      <rPr>
        <sz val="11"/>
        <color theme="1"/>
        <rFont val="ＭＳ Ｐゴシック"/>
        <family val="3"/>
        <charset val="128"/>
        <scheme val="minor"/>
      </rPr>
      <t xml:space="preserve"> SOLANO</t>
    </r>
  </si>
  <si>
    <r>
      <t>北京众拓必亨国</t>
    </r>
    <r>
      <rPr>
        <sz val="11"/>
        <color theme="1"/>
        <rFont val="ＭＳ Ｐゴシック"/>
        <family val="3"/>
        <charset val="134"/>
        <scheme val="minor"/>
      </rPr>
      <t>际贸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</si>
  <si>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朗姆酒; 利口酒; 清酒（日本米酒）; 威士忌; 汽酒; 葡萄酒;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</si>
  <si>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五甲</t>
  </si>
  <si>
    <r>
      <t>印江自治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会</t>
    </r>
    <r>
      <rPr>
        <sz val="11"/>
        <color theme="1"/>
        <rFont val="ＭＳ Ｐゴシック"/>
        <family val="3"/>
        <charset val="134"/>
        <scheme val="minor"/>
      </rPr>
      <t>师</t>
    </r>
    <r>
      <rPr>
        <sz val="11"/>
        <color theme="1"/>
        <rFont val="ＭＳ Ｐゴシック"/>
        <family val="3"/>
        <charset val="128"/>
        <scheme val="minor"/>
      </rPr>
      <t>泉酒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</si>
  <si>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米酒; 白干酒（中国白酒）;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高粱酒</t>
    </r>
  </si>
  <si>
    <t>黄福吉</t>
  </si>
  <si>
    <t>黄国全</t>
  </si>
  <si>
    <r>
      <t>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果酒（含酒精）; 清酒（日本米酒）; 白酒;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</si>
  <si>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云台峰</t>
  </si>
  <si>
    <r>
      <t>巫溪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薯光</t>
    </r>
    <r>
      <rPr>
        <sz val="11"/>
        <color theme="1"/>
        <rFont val="ＭＳ Ｐゴシック"/>
        <family val="3"/>
        <charset val="134"/>
        <scheme val="minor"/>
      </rPr>
      <t>农业</t>
    </r>
    <r>
      <rPr>
        <sz val="11"/>
        <color theme="1"/>
        <rFont val="ＭＳ Ｐゴシック"/>
        <family val="3"/>
        <charset val="128"/>
        <scheme val="minor"/>
      </rPr>
      <t>科技开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</si>
  <si>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果酒; 露酒; 米酒; 白酒; 利口酒; 蒸煮提取物（利口酒和烈酒）; 高粱酒; 白干酒（中国白酒）;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</si>
  <si>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芳青松</t>
  </si>
  <si>
    <t>芳氧（安徽）生物科技有限公司</t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</si>
  <si>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</t>
    </r>
  </si>
  <si>
    <t>卓色天香</t>
  </si>
  <si>
    <r>
      <t>周国</t>
    </r>
    <r>
      <rPr>
        <sz val="11"/>
        <color theme="1"/>
        <rFont val="ＭＳ Ｐゴシック"/>
        <family val="3"/>
        <charset val="134"/>
        <scheme val="minor"/>
      </rPr>
      <t>华</t>
    </r>
  </si>
  <si>
    <r>
      <t>白酒; 清酒（日本米酒）; 米酒; 黄酒;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伏特加酒; 威士忌;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</t>
    </r>
  </si>
  <si>
    <t>古曼山丘</t>
  </si>
  <si>
    <r>
      <t>威士忌; 清酒; 麦芽威士忌; 清酒（日本米酒）; 白酒; 葡萄酒; 果酒; 烈酒;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</t>
    </r>
  </si>
  <si>
    <r>
      <t>华</t>
    </r>
    <r>
      <rPr>
        <sz val="11"/>
        <color theme="1"/>
        <rFont val="ＭＳ Ｐゴシック"/>
        <family val="3"/>
        <charset val="128"/>
        <scheme val="minor"/>
      </rPr>
      <t>坤</t>
    </r>
    <r>
      <rPr>
        <sz val="11"/>
        <color theme="1"/>
        <rFont val="ＭＳ Ｐゴシック"/>
        <family val="3"/>
        <charset val="134"/>
        <scheme val="minor"/>
      </rPr>
      <t>贵</t>
    </r>
  </si>
  <si>
    <r>
      <t>上海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坤礼品有限公司</t>
    </r>
  </si>
  <si>
    <r>
      <t>黄酒;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</t>
    </r>
  </si>
  <si>
    <r>
      <t>汉</t>
    </r>
    <r>
      <rPr>
        <sz val="11"/>
        <color theme="1"/>
        <rFont val="ＭＳ Ｐゴシック"/>
        <family val="3"/>
        <charset val="128"/>
        <scheme val="minor"/>
      </rPr>
      <t>辞星</t>
    </r>
  </si>
  <si>
    <r>
      <t>米酒;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梅酒; 高粱酒; 清酒（日本米酒）;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开胃酒; 果酒（含酒精）</t>
    </r>
  </si>
  <si>
    <r>
      <t xml:space="preserve">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清酒;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白酒;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</si>
  <si>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t>霖涛</t>
  </si>
  <si>
    <r>
      <t>北京登尼</t>
    </r>
    <r>
      <rPr>
        <sz val="11"/>
        <color theme="1"/>
        <rFont val="ＭＳ Ｐゴシック"/>
        <family val="3"/>
        <charset val="134"/>
        <scheme val="minor"/>
      </rPr>
      <t>亚贸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</si>
  <si>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果酒（含酒精）; 利口酒; 烈酒;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</t>
    </r>
  </si>
  <si>
    <t>粉豹家族</t>
  </si>
  <si>
    <r>
      <t>骆泽</t>
    </r>
    <r>
      <rPr>
        <sz val="11"/>
        <color theme="1"/>
        <rFont val="ＭＳ Ｐゴシック"/>
        <family val="3"/>
        <charset val="128"/>
        <scheme val="minor"/>
      </rPr>
      <t>民******************</t>
    </r>
  </si>
  <si>
    <r>
      <t>含酒精的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尾酒混合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品; 葡萄酒; 白酒; 米酒; 含酒精的气泡水;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酒;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</t>
    </r>
  </si>
  <si>
    <t>杏玖德</t>
  </si>
  <si>
    <r>
      <t>黄酒; 食用酒精;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蒸煮提取物（利口酒和烈酒）;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清酒（日本米酒）; 白酒</t>
    </r>
  </si>
  <si>
    <t>澳黛</t>
  </si>
  <si>
    <r>
      <t>御</t>
    </r>
    <r>
      <rPr>
        <sz val="11"/>
        <color theme="1"/>
        <rFont val="ＭＳ Ｐゴシック"/>
        <family val="3"/>
        <charset val="134"/>
        <scheme val="minor"/>
      </rPr>
      <t>马</t>
    </r>
    <r>
      <rPr>
        <sz val="11"/>
        <color theme="1"/>
        <rFont val="ＭＳ Ｐゴシック"/>
        <family val="3"/>
        <charset val="128"/>
        <scheme val="minor"/>
      </rPr>
      <t>国</t>
    </r>
    <r>
      <rPr>
        <sz val="11"/>
        <color theme="1"/>
        <rFont val="ＭＳ Ｐゴシック"/>
        <family val="3"/>
        <charset val="134"/>
        <scheme val="minor"/>
      </rPr>
      <t>际</t>
    </r>
    <r>
      <rPr>
        <sz val="11"/>
        <color theme="1"/>
        <rFont val="ＭＳ Ｐゴシック"/>
        <family val="3"/>
        <charset val="128"/>
        <scheme val="minor"/>
      </rPr>
      <t>葡萄酒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（宁夏）有限公司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</si>
  <si>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开胃酒;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威士忌; 白酒; 食用酒精;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</si>
  <si>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t>梦开普</t>
  </si>
  <si>
    <r>
      <t>张</t>
    </r>
    <r>
      <rPr>
        <sz val="11"/>
        <color theme="1"/>
        <rFont val="ＭＳ Ｐゴシック"/>
        <family val="3"/>
        <charset val="128"/>
        <scheme val="minor"/>
      </rPr>
      <t>秀根</t>
    </r>
  </si>
  <si>
    <r>
      <t>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五加皮酒（中国混合烈酒）;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白干酒（中国白酒）; 烈酒</t>
    </r>
  </si>
  <si>
    <r>
      <t>蕴</t>
    </r>
    <r>
      <rPr>
        <sz val="11"/>
        <color theme="1"/>
        <rFont val="ＭＳ Ｐゴシック"/>
        <family val="3"/>
        <charset val="128"/>
        <scheme val="minor"/>
      </rPr>
      <t>味</t>
    </r>
  </si>
  <si>
    <r>
      <t>中粮我</t>
    </r>
    <r>
      <rPr>
        <sz val="11"/>
        <color theme="1"/>
        <rFont val="ＭＳ Ｐゴシック"/>
        <family val="3"/>
        <charset val="134"/>
        <scheme val="minor"/>
      </rPr>
      <t>买</t>
    </r>
    <r>
      <rPr>
        <sz val="11"/>
        <color theme="1"/>
        <rFont val="ＭＳ Ｐゴシック"/>
        <family val="3"/>
        <charset val="128"/>
        <scheme val="minor"/>
      </rPr>
      <t>网投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</si>
  <si>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黄酒; 白酒; 果酒（含酒精）; 薄荷酒; 食用酒精; 米酒</t>
    </r>
  </si>
  <si>
    <r>
      <t>汣</t>
    </r>
    <r>
      <rPr>
        <sz val="11"/>
        <color theme="1"/>
        <rFont val="ＭＳ Ｐゴシック"/>
        <family val="3"/>
        <charset val="128"/>
        <scheme val="minor"/>
      </rPr>
      <t>馥</t>
    </r>
  </si>
  <si>
    <r>
      <t>宁夏智慧人生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</si>
  <si>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 xml:space="preserve">果酒（含酒精）; 黄酒; 米酒; 高粱酒;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苹果酒; 伏特加酒; 青稞酒; 葡萄酒; 白酒</t>
    </r>
  </si>
  <si>
    <r>
      <t>灏</t>
    </r>
    <r>
      <rPr>
        <sz val="11"/>
        <color theme="1"/>
        <rFont val="ＭＳ Ｐゴシック"/>
        <family val="3"/>
        <charset val="128"/>
        <scheme val="minor"/>
      </rPr>
      <t>禧</t>
    </r>
  </si>
  <si>
    <r>
      <t>宁波前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企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</si>
  <si>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果酒（含酒精）;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米酒; 伏特加酒;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朗姆酒; 白酒</t>
    </r>
  </si>
  <si>
    <t>安派星</t>
  </si>
  <si>
    <r>
      <t>上海鞍派企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服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</si>
  <si>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蜂蜜酒;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开胃酒; 葡萄酒; 白酒</t>
    </r>
  </si>
  <si>
    <r>
      <t>微湖特酒</t>
    </r>
    <r>
      <rPr>
        <sz val="11"/>
        <color theme="1"/>
        <rFont val="ＭＳ Ｐゴシック"/>
        <family val="3"/>
        <charset val="134"/>
        <scheme val="minor"/>
      </rPr>
      <t>业</t>
    </r>
  </si>
  <si>
    <r>
      <t>方</t>
    </r>
    <r>
      <rPr>
        <sz val="11"/>
        <color theme="1"/>
        <rFont val="ＭＳ Ｐゴシック"/>
        <family val="3"/>
        <charset val="134"/>
        <scheme val="minor"/>
      </rPr>
      <t>亚</t>
    </r>
  </si>
  <si>
    <r>
      <t xml:space="preserve">果酒（含酒精）; 米酒; 伏特加酒;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清酒（日本米酒）;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食用酒精</t>
    </r>
  </si>
  <si>
    <t>且初</t>
  </si>
  <si>
    <r>
      <t>白酒; 米酒; 葡萄酒; 果酒;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朗姆酒; 清酒; 威士忌; 高粱酒</t>
    </r>
  </si>
  <si>
    <t>天行鹿</t>
  </si>
  <si>
    <t>刘超</t>
  </si>
  <si>
    <r>
      <t>白酒;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清酒（日本米酒）; 果酒（含酒精）; 葡萄酒; 米酒; 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</si>
  <si>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t>春秋子曰</t>
  </si>
  <si>
    <r>
      <t>赵</t>
    </r>
    <r>
      <rPr>
        <sz val="11"/>
        <color theme="1"/>
        <rFont val="ＭＳ Ｐゴシック"/>
        <family val="3"/>
        <charset val="128"/>
        <scheme val="minor"/>
      </rPr>
      <t>章栓</t>
    </r>
  </si>
  <si>
    <r>
      <t>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食用酒精; 果酒（含酒精）; 汽酒; 开胃酒; 清酒（日本米酒）</t>
    </r>
  </si>
  <si>
    <r>
      <t>诗</t>
    </r>
    <r>
      <rPr>
        <sz val="11"/>
        <color theme="1"/>
        <rFont val="ＭＳ Ｐゴシック"/>
        <family val="3"/>
        <charset val="128"/>
        <scheme val="minor"/>
      </rPr>
      <t>榜</t>
    </r>
  </si>
  <si>
    <r>
      <t>西咸新区</t>
    </r>
    <r>
      <rPr>
        <sz val="11"/>
        <color theme="1"/>
        <rFont val="ＭＳ Ｐゴシック"/>
        <family val="3"/>
        <charset val="134"/>
        <scheme val="minor"/>
      </rPr>
      <t>沣东</t>
    </r>
    <r>
      <rPr>
        <sz val="11"/>
        <color theme="1"/>
        <rFont val="ＭＳ Ｐゴシック"/>
        <family val="3"/>
        <charset val="128"/>
        <scheme val="minor"/>
      </rPr>
      <t>新城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度百</t>
    </r>
    <r>
      <rPr>
        <sz val="11"/>
        <color theme="1"/>
        <rFont val="ＭＳ Ｐゴシック"/>
        <family val="3"/>
        <charset val="134"/>
        <scheme val="minor"/>
      </rPr>
      <t>货</t>
    </r>
    <r>
      <rPr>
        <sz val="11"/>
        <color theme="1"/>
        <rFont val="ＭＳ Ｐゴシック"/>
        <family val="3"/>
        <charset val="128"/>
        <scheme val="minor"/>
      </rPr>
      <t>店</t>
    </r>
  </si>
  <si>
    <r>
      <t>白酒;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开胃酒; 清酒（日本米酒）;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</si>
  <si>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久好久</t>
  </si>
  <si>
    <r>
      <t>上海</t>
    </r>
    <r>
      <rPr>
        <sz val="11"/>
        <color theme="1"/>
        <rFont val="ＭＳ Ｐゴシック"/>
        <family val="3"/>
        <charset val="134"/>
        <scheme val="minor"/>
      </rPr>
      <t>诚鸿实业发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</si>
  <si>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威士忌; 茴香酒（利口酒）; 甜果酒; 黄酒;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天然汽酒; 烈性干酒;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清酒; 以蒸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主的开胃酒; 白干酒（中国白酒）;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露酒;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伏特加酒;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水果汽酒;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蒸煮提取物（利口酒和烈酒）; 汽酒; 米酒; 朗...</t>
    </r>
  </si>
  <si>
    <r>
      <t>观东</t>
    </r>
    <r>
      <rPr>
        <sz val="11"/>
        <color theme="1"/>
        <rFont val="ＭＳ Ｐゴシック"/>
        <family val="3"/>
        <charset val="128"/>
        <scheme val="minor"/>
      </rPr>
      <t>海</t>
    </r>
  </si>
  <si>
    <r>
      <t>深圳</t>
    </r>
    <r>
      <rPr>
        <sz val="11"/>
        <color theme="1"/>
        <rFont val="ＭＳ Ｐゴシック"/>
        <family val="3"/>
        <charset val="134"/>
        <scheme val="minor"/>
      </rPr>
      <t>创</t>
    </r>
    <r>
      <rPr>
        <sz val="11"/>
        <color theme="1"/>
        <rFont val="ＭＳ Ｐゴシック"/>
        <family val="3"/>
        <charset val="128"/>
        <scheme val="minor"/>
      </rPr>
      <t>造社品牌</t>
    </r>
    <r>
      <rPr>
        <sz val="11"/>
        <color theme="1"/>
        <rFont val="ＭＳ Ｐゴシック"/>
        <family val="3"/>
        <charset val="134"/>
        <scheme val="minor"/>
      </rPr>
      <t>设计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</si>
  <si>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黄酒; 葡萄酒; 朗姆酒;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</si>
  <si>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鲲鹏欢</t>
  </si>
  <si>
    <r>
      <t xml:space="preserve">白酒; 露酒; 伏特加酒; 米酒; 朗姆酒; 烈酒;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</si>
  <si>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儒</t>
    </r>
    <r>
      <rPr>
        <sz val="11"/>
        <color theme="1"/>
        <rFont val="ＭＳ Ｐゴシック"/>
        <family val="3"/>
        <charset val="134"/>
        <scheme val="minor"/>
      </rPr>
      <t>赞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</si>
  <si>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蒸煮提取物（利口酒和烈酒）; 米酒; 黄酒;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</t>
    </r>
  </si>
  <si>
    <r>
      <t>汇</t>
    </r>
    <r>
      <rPr>
        <sz val="11"/>
        <color theme="1"/>
        <rFont val="ＭＳ Ｐゴシック"/>
        <family val="3"/>
        <charset val="128"/>
        <scheme val="minor"/>
      </rPr>
      <t>金仁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</si>
  <si>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市泊霖酒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</si>
  <si>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米酒; 白酒; 苹果酒; 葡萄酒; 餐后酒（利口酒和烈酒）; 露酒;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</si>
  <si>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 xml:space="preserve">蒸煮提取物（利口酒和烈酒）; 高粱酒; 白干酒（中国白酒）; 米酒;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露酒;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利口酒; 白酒</t>
    </r>
  </si>
  <si>
    <t>力苦地</t>
  </si>
  <si>
    <r>
      <t>徐州力苦地文化</t>
    </r>
    <r>
      <rPr>
        <sz val="11"/>
        <color theme="1"/>
        <rFont val="ＭＳ Ｐゴシック"/>
        <family val="3"/>
        <charset val="134"/>
        <scheme val="minor"/>
      </rPr>
      <t>艺术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</si>
  <si>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青稞酒; 果酒（含酒精）; 朗姆酒; 汽酒;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白酒; 清酒; 米酒</t>
    </r>
  </si>
  <si>
    <r>
      <t>赞</t>
    </r>
    <r>
      <rPr>
        <sz val="11"/>
        <color theme="1"/>
        <rFont val="ＭＳ Ｐゴシック"/>
        <family val="3"/>
        <charset val="128"/>
        <scheme val="minor"/>
      </rPr>
      <t>辰公</t>
    </r>
  </si>
  <si>
    <r>
      <t>中山市南区乾和茶</t>
    </r>
    <r>
      <rPr>
        <sz val="11"/>
        <color theme="1"/>
        <rFont val="ＭＳ Ｐゴシック"/>
        <family val="3"/>
        <charset val="134"/>
        <scheme val="minor"/>
      </rPr>
      <t>馆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</si>
  <si>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果酒（含酒精）; 黄酒; 威士忌;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</t>
    </r>
  </si>
  <si>
    <t>京盟</t>
  </si>
  <si>
    <r>
      <t>龚</t>
    </r>
    <r>
      <rPr>
        <sz val="11"/>
        <color theme="1"/>
        <rFont val="ＭＳ Ｐゴシック"/>
        <family val="3"/>
        <charset val="128"/>
        <scheme val="minor"/>
      </rPr>
      <t>康富</t>
    </r>
  </si>
  <si>
    <r>
      <t xml:space="preserve">葡萄酒; 威士忌; 米酒;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开胃酒</t>
    </r>
  </si>
  <si>
    <t>憾者无界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</si>
  <si>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州憾酒酒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</si>
  <si>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 xml:space="preserve">白酒; 威士忌; 米酒;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清酒（日本米酒）;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蒸煮提取物（利口酒和烈酒）;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</si>
  <si>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得天道</t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</si>
  <si>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利口酒; 威士忌; 果酒（含酒精）;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葡萄酒; 白酒;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</t>
    </r>
  </si>
  <si>
    <r>
      <t>郸</t>
    </r>
    <r>
      <rPr>
        <sz val="11"/>
        <color theme="1"/>
        <rFont val="ＭＳ Ｐゴシック"/>
        <family val="3"/>
        <charset val="128"/>
        <scheme val="minor"/>
      </rPr>
      <t>黄</t>
    </r>
  </si>
  <si>
    <r>
      <t>河北盛世磁粟春酒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</si>
  <si>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苹果酒;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青梅酒; 白葡萄酒; 米酒; 高粱酒; 果酒</t>
    </r>
  </si>
  <si>
    <t>猛帝高升</t>
  </si>
  <si>
    <r>
      <t>北京界</t>
    </r>
    <r>
      <rPr>
        <sz val="11"/>
        <color theme="1"/>
        <rFont val="ＭＳ Ｐゴシック"/>
        <family val="3"/>
        <charset val="134"/>
        <scheme val="minor"/>
      </rPr>
      <t>顺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</si>
  <si>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果酒（含酒精）; 白酒;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开胃酒; 米酒</t>
    </r>
  </si>
  <si>
    <r>
      <t>许</t>
    </r>
    <r>
      <rPr>
        <sz val="11"/>
        <color theme="1"/>
        <rFont val="ＭＳ Ｐゴシック"/>
        <family val="3"/>
        <charset val="128"/>
        <scheme val="minor"/>
      </rPr>
      <t>金</t>
    </r>
    <r>
      <rPr>
        <sz val="11"/>
        <color theme="1"/>
        <rFont val="ＭＳ Ｐゴシック"/>
        <family val="3"/>
        <charset val="134"/>
        <scheme val="minor"/>
      </rPr>
      <t>铖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</si>
  <si>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</t>
    </r>
    <r>
      <rPr>
        <sz val="11"/>
        <color theme="1"/>
        <rFont val="ＭＳ Ｐゴシック"/>
        <family val="3"/>
        <charset val="134"/>
        <scheme val="minor"/>
      </rPr>
      <t>许</t>
    </r>
    <r>
      <rPr>
        <sz val="11"/>
        <color theme="1"/>
        <rFont val="ＭＳ Ｐゴシック"/>
        <family val="3"/>
        <charset val="128"/>
        <scheme val="minor"/>
      </rPr>
      <t>金</t>
    </r>
    <r>
      <rPr>
        <sz val="11"/>
        <color theme="1"/>
        <rFont val="ＭＳ Ｐゴシック"/>
        <family val="3"/>
        <charset val="134"/>
        <scheme val="minor"/>
      </rPr>
      <t>诚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</si>
  <si>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苦味酒; 果酒; 葡萄酒; 薄荷酒; 白酒; 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食用酒精; 黄酒</t>
    </r>
  </si>
  <si>
    <r>
      <t>信</t>
    </r>
    <r>
      <rPr>
        <sz val="11"/>
        <color theme="1"/>
        <rFont val="ＭＳ Ｐゴシック"/>
        <family val="3"/>
        <charset val="134"/>
        <scheme val="minor"/>
      </rPr>
      <t>润</t>
    </r>
    <r>
      <rPr>
        <sz val="11"/>
        <color theme="1"/>
        <rFont val="ＭＳ Ｐゴシック"/>
        <family val="3"/>
        <charset val="128"/>
        <scheme val="minor"/>
      </rPr>
      <t>八方</t>
    </r>
  </si>
  <si>
    <r>
      <t>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阳谷中信</t>
    </r>
    <r>
      <rPr>
        <sz val="11"/>
        <color theme="1"/>
        <rFont val="ＭＳ Ｐゴシック"/>
        <family val="3"/>
        <charset val="134"/>
        <scheme val="minor"/>
      </rPr>
      <t>电缆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</si>
  <si>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烈酒;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白酒;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伏特加酒; 黄酒; 果酒; 威士忌</t>
    </r>
  </si>
  <si>
    <t>CUARTELES 29</t>
  </si>
  <si>
    <r>
      <t>四川杰鑫泰商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</si>
  <si>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威士忌; 黄酒; 白酒; 开胃酒;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薄荷酒;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</si>
  <si>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米哥米嫂甄品</t>
  </si>
  <si>
    <r>
      <t>上犹</t>
    </r>
    <r>
      <rPr>
        <sz val="11"/>
        <color theme="1"/>
        <rFont val="ＭＳ Ｐゴシック"/>
        <family val="3"/>
        <charset val="134"/>
        <scheme val="minor"/>
      </rPr>
      <t>县为</t>
    </r>
    <r>
      <rPr>
        <sz val="11"/>
        <color theme="1"/>
        <rFont val="ＭＳ Ｐゴシック"/>
        <family val="3"/>
        <charset val="128"/>
        <scheme val="minor"/>
      </rPr>
      <t>民粮油有限公司</t>
    </r>
  </si>
  <si>
    <r>
      <t xml:space="preserve">烈酒;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清酒（日本米酒）; 果酒; 白酒</t>
    </r>
  </si>
  <si>
    <t>夏之富</t>
  </si>
  <si>
    <r>
      <t>金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市金樽商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</si>
  <si>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清酒（日本米酒）;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白酒;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葡萄酒</t>
    </r>
  </si>
  <si>
    <r>
      <t>华</t>
    </r>
    <r>
      <rPr>
        <sz val="11"/>
        <color theme="1"/>
        <rFont val="ＭＳ Ｐゴシック"/>
        <family val="3"/>
        <charset val="128"/>
        <scheme val="minor"/>
      </rPr>
      <t>里</t>
    </r>
    <r>
      <rPr>
        <sz val="11"/>
        <color theme="1"/>
        <rFont val="ＭＳ Ｐゴシック"/>
        <family val="3"/>
        <charset val="134"/>
        <scheme val="minor"/>
      </rPr>
      <t>见</t>
    </r>
  </si>
  <si>
    <r>
      <t>泸</t>
    </r>
    <r>
      <rPr>
        <sz val="11"/>
        <color theme="1"/>
        <rFont val="ＭＳ Ｐゴシック"/>
        <family val="3"/>
        <charset val="128"/>
        <scheme val="minor"/>
      </rPr>
      <t>州鼎盛酒</t>
    </r>
    <r>
      <rPr>
        <sz val="11"/>
        <color theme="1"/>
        <rFont val="ＭＳ Ｐゴシック"/>
        <family val="3"/>
        <charset val="134"/>
        <scheme val="minor"/>
      </rPr>
      <t>类销</t>
    </r>
    <r>
      <rPr>
        <sz val="11"/>
        <color theme="1"/>
        <rFont val="ＭＳ Ｐゴシック"/>
        <family val="3"/>
        <charset val="128"/>
        <scheme val="minor"/>
      </rPr>
      <t>售有限公司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</si>
  <si>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薄荷酒; 梨酒; 黄酒; 米酒; 开胃酒; 果酒（含酒精）; 苹果酒; 蜂蜜酒; 白酒</t>
    </r>
  </si>
  <si>
    <t>枫浔</t>
  </si>
  <si>
    <t>何雅宁</t>
  </si>
  <si>
    <r>
      <t>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伏特加酒; 葡萄酒; 威士忌; 黄酒; 果酒; 米酒</t>
    </r>
  </si>
  <si>
    <r>
      <t>浦江</t>
    </r>
    <r>
      <rPr>
        <sz val="11"/>
        <color theme="1"/>
        <rFont val="ＭＳ Ｐゴシック"/>
        <family val="3"/>
        <charset val="134"/>
        <scheme val="minor"/>
      </rPr>
      <t>鸿</t>
    </r>
    <r>
      <rPr>
        <sz val="11"/>
        <color theme="1"/>
        <rFont val="ＭＳ Ｐゴシック"/>
        <family val="3"/>
        <charset val="128"/>
        <scheme val="minor"/>
      </rPr>
      <t>瑞</t>
    </r>
  </si>
  <si>
    <t>南京浦瑞斯特建材科技有限公司</t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</si>
  <si>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葡萄酒; 米酒; 白酒; 开胃酒; 利口酒; 威士忌</t>
    </r>
  </si>
  <si>
    <t>青不倒</t>
  </si>
  <si>
    <r>
      <t>谷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洞藏（浙江）酒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</si>
  <si>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苦艾酒;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预调</t>
    </r>
    <r>
      <rPr>
        <sz val="11"/>
        <color theme="1"/>
        <rFont val="ＭＳ Ｐゴシック"/>
        <family val="3"/>
        <charset val="128"/>
        <scheme val="minor"/>
      </rPr>
      <t>甜酒; 黄酒; 威士忌;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米酒（泡盛酒）; 清酒（日本米酒）;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高粱酒;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以蒸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>酒;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酒; 苦味酒; 米酒; 白酒; 含水果...</t>
    </r>
  </si>
  <si>
    <r>
      <t>武</t>
    </r>
    <r>
      <rPr>
        <sz val="11"/>
        <color theme="1"/>
        <rFont val="ＭＳ Ｐゴシック"/>
        <family val="3"/>
        <charset val="134"/>
        <scheme val="minor"/>
      </rPr>
      <t>汉</t>
    </r>
    <r>
      <rPr>
        <sz val="11"/>
        <color theme="1"/>
        <rFont val="ＭＳ Ｐゴシック"/>
        <family val="3"/>
        <charset val="128"/>
        <scheme val="minor"/>
      </rPr>
      <t>至尚体育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</si>
  <si>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茴芹酒（利口酒）;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餐后酒（利口酒和烈酒）;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清酒（日本米酒）;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黄酒; 米酒</t>
    </r>
  </si>
  <si>
    <r>
      <t>正</t>
    </r>
    <r>
      <rPr>
        <sz val="11"/>
        <color theme="1"/>
        <rFont val="ＭＳ Ｐゴシック"/>
        <family val="3"/>
        <charset val="134"/>
        <scheme val="minor"/>
      </rPr>
      <t>轩</t>
    </r>
    <r>
      <rPr>
        <sz val="11"/>
        <color theme="1"/>
        <rFont val="ＭＳ Ｐゴシック"/>
        <family val="3"/>
        <charset val="128"/>
        <scheme val="minor"/>
      </rPr>
      <t>福</t>
    </r>
  </si>
  <si>
    <r>
      <t>姚安正</t>
    </r>
    <r>
      <rPr>
        <sz val="11"/>
        <color theme="1"/>
        <rFont val="ＭＳ Ｐゴシック"/>
        <family val="3"/>
        <charset val="134"/>
        <scheme val="minor"/>
      </rPr>
      <t>轩</t>
    </r>
    <r>
      <rPr>
        <sz val="11"/>
        <color theme="1"/>
        <rFont val="ＭＳ Ｐゴシック"/>
        <family val="3"/>
        <charset val="128"/>
        <scheme val="minor"/>
      </rPr>
      <t>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</si>
  <si>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苹果酒;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白酒; 青稞酒;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果酒（含酒精）; 米酒;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</si>
  <si>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掘金仁</t>
  </si>
  <si>
    <t>王明彬</t>
  </si>
  <si>
    <r>
      <t xml:space="preserve">米酒; 葡萄酒; 黄酒; 清酒;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汽酒</t>
    </r>
  </si>
  <si>
    <r>
      <t>奥青</t>
    </r>
    <r>
      <rPr>
        <sz val="11"/>
        <color theme="1"/>
        <rFont val="ＭＳ Ｐゴシック"/>
        <family val="3"/>
        <charset val="134"/>
        <scheme val="minor"/>
      </rPr>
      <t>汇</t>
    </r>
  </si>
  <si>
    <r>
      <t>中建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夏（北京）</t>
    </r>
    <r>
      <rPr>
        <sz val="11"/>
        <color theme="1"/>
        <rFont val="ＭＳ Ｐゴシック"/>
        <family val="3"/>
        <charset val="134"/>
        <scheme val="minor"/>
      </rPr>
      <t>产业</t>
    </r>
    <r>
      <rPr>
        <sz val="11"/>
        <color theme="1"/>
        <rFont val="ＭＳ Ｐゴシック"/>
        <family val="3"/>
        <charset val="128"/>
        <scheme val="minor"/>
      </rPr>
      <t>运</t>
    </r>
    <r>
      <rPr>
        <sz val="11"/>
        <color theme="1"/>
        <rFont val="ＭＳ Ｐゴシック"/>
        <family val="3"/>
        <charset val="134"/>
        <scheme val="minor"/>
      </rPr>
      <t>营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</si>
  <si>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白酒;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威士忌; 果酒（含酒精）; 食用酒精; 含酒精的充气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天然汽酒</t>
    </r>
  </si>
  <si>
    <t>天地鼎立</t>
  </si>
  <si>
    <r>
      <t>许</t>
    </r>
    <r>
      <rPr>
        <sz val="11"/>
        <color theme="1"/>
        <rFont val="ＭＳ Ｐゴシック"/>
        <family val="3"/>
        <charset val="128"/>
        <scheme val="minor"/>
      </rPr>
      <t>广涵</t>
    </r>
  </si>
  <si>
    <r>
      <t>威士忌; 米酒; 白酒;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果酒（含酒精）; 青稞酒;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葡萄酒</t>
    </r>
  </si>
  <si>
    <t>高途</t>
  </si>
  <si>
    <r>
      <t>吴</t>
    </r>
    <r>
      <rPr>
        <sz val="11"/>
        <color theme="1"/>
        <rFont val="ＭＳ Ｐゴシック"/>
        <family val="3"/>
        <charset val="134"/>
        <scheme val="minor"/>
      </rPr>
      <t>书娇</t>
    </r>
  </si>
  <si>
    <r>
      <t xml:space="preserve">白酒; 食用酒精; 开胃酒; 蒸煮提取物（利口酒和烈酒）;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清酒（日本米酒）;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</si>
  <si>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吉宝原</t>
  </si>
  <si>
    <r>
      <t>厦</t>
    </r>
    <r>
      <rPr>
        <sz val="11"/>
        <color theme="1"/>
        <rFont val="ＭＳ Ｐゴシック"/>
        <family val="3"/>
        <charset val="134"/>
        <scheme val="minor"/>
      </rPr>
      <t>门</t>
    </r>
    <r>
      <rPr>
        <sz val="11"/>
        <color theme="1"/>
        <rFont val="ＭＳ Ｐゴシック"/>
        <family val="3"/>
        <charset val="128"/>
        <scheme val="minor"/>
      </rPr>
      <t>吉宝原</t>
    </r>
    <r>
      <rPr>
        <sz val="11"/>
        <color theme="1"/>
        <rFont val="ＭＳ Ｐゴシック"/>
        <family val="3"/>
        <charset val="134"/>
        <scheme val="minor"/>
      </rPr>
      <t>实业</t>
    </r>
    <r>
      <rPr>
        <sz val="11"/>
        <color theme="1"/>
        <rFont val="ＭＳ Ｐゴシック"/>
        <family val="3"/>
        <charset val="128"/>
        <scheme val="minor"/>
      </rPr>
      <t>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</si>
  <si>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 xml:space="preserve">汁; 米酒;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清酒（日本米酒）; 白酒</t>
    </r>
  </si>
  <si>
    <t>港庄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</si>
  <si>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州黔</t>
    </r>
    <r>
      <rPr>
        <sz val="11"/>
        <color theme="1"/>
        <rFont val="ＭＳ Ｐゴシック"/>
        <family val="3"/>
        <charset val="134"/>
        <scheme val="minor"/>
      </rPr>
      <t>钧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业销</t>
    </r>
    <r>
      <rPr>
        <sz val="11"/>
        <color theme="1"/>
        <rFont val="ＭＳ Ｐゴシック"/>
        <family val="3"/>
        <charset val="128"/>
        <scheme val="minor"/>
      </rPr>
      <t>售有限公司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</si>
  <si>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清酒（日本米酒）; 葡萄酒; 米酒; 白酒; 甜酒; 果酒（含酒精）</t>
    </r>
  </si>
  <si>
    <r>
      <t>期来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北小酒</t>
    </r>
  </si>
  <si>
    <r>
      <t>哈</t>
    </r>
    <r>
      <rPr>
        <sz val="11"/>
        <color theme="1"/>
        <rFont val="ＭＳ Ｐゴシック"/>
        <family val="3"/>
        <charset val="134"/>
        <scheme val="minor"/>
      </rPr>
      <t>尔滨桥标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类经销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</si>
  <si>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威士忌; 米酒;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果酒（含酒精）</t>
    </r>
  </si>
  <si>
    <t>百春</t>
  </si>
  <si>
    <r>
      <t>果酒（含酒精）;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黄酒; 清酒</t>
    </r>
  </si>
  <si>
    <t>任九州</t>
  </si>
  <si>
    <r>
      <t>山西</t>
    </r>
    <r>
      <rPr>
        <sz val="11"/>
        <color theme="1"/>
        <rFont val="ＭＳ Ｐゴシック"/>
        <family val="3"/>
        <charset val="134"/>
        <scheme val="minor"/>
      </rPr>
      <t>谦</t>
    </r>
    <r>
      <rPr>
        <sz val="11"/>
        <color theme="1"/>
        <rFont val="ＭＳ Ｐゴシック"/>
        <family val="3"/>
        <charset val="128"/>
        <scheme val="minor"/>
      </rPr>
      <t>受益酒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</si>
  <si>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葡萄酒; 松叶酒;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酒（烈酒）;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米酒;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米酒（泡盛酒）; 清酒; 白干酒（中国白酒）; 白酒</t>
    </r>
  </si>
  <si>
    <r>
      <t>庆</t>
    </r>
    <r>
      <rPr>
        <sz val="11"/>
        <color theme="1"/>
        <rFont val="ＭＳ Ｐゴシック"/>
        <family val="3"/>
        <charset val="128"/>
        <scheme val="minor"/>
      </rPr>
      <t>迪</t>
    </r>
  </si>
  <si>
    <r>
      <t>陈</t>
    </r>
    <r>
      <rPr>
        <sz val="11"/>
        <color theme="1"/>
        <rFont val="ＭＳ Ｐゴシック"/>
        <family val="3"/>
        <charset val="128"/>
        <scheme val="minor"/>
      </rPr>
      <t>建寿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</si>
  <si>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白酒;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清酒（日本米酒）; 食用酒精; 威士忌</t>
    </r>
  </si>
  <si>
    <t>不二糊</t>
  </si>
  <si>
    <r>
      <t>邓</t>
    </r>
    <r>
      <rPr>
        <sz val="11"/>
        <color theme="1"/>
        <rFont val="ＭＳ Ｐゴシック"/>
        <family val="3"/>
        <charset val="128"/>
        <scheme val="minor"/>
      </rPr>
      <t>炳</t>
    </r>
    <r>
      <rPr>
        <sz val="11"/>
        <color theme="1"/>
        <rFont val="ＭＳ Ｐゴシック"/>
        <family val="3"/>
        <charset val="134"/>
        <scheme val="minor"/>
      </rPr>
      <t>为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</si>
  <si>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米酒; 露酒;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青稞酒; 黄酒; 白酒</t>
    </r>
  </si>
  <si>
    <r>
      <t>裕台</t>
    </r>
    <r>
      <rPr>
        <sz val="11"/>
        <color theme="1"/>
        <rFont val="ＭＳ Ｐゴシック"/>
        <family val="3"/>
        <charset val="134"/>
        <scheme val="minor"/>
      </rPr>
      <t>乡</t>
    </r>
  </si>
  <si>
    <r>
      <t>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开胃酒; 烈酒; 葡萄酒; 黄酒; 白酒; 威士忌</t>
    </r>
  </si>
  <si>
    <r>
      <t>华泽</t>
    </r>
    <r>
      <rPr>
        <sz val="11"/>
        <color theme="1"/>
        <rFont val="ＭＳ Ｐゴシック"/>
        <family val="3"/>
        <charset val="128"/>
        <scheme val="minor"/>
      </rPr>
      <t>信</t>
    </r>
    <r>
      <rPr>
        <sz val="11"/>
        <color theme="1"/>
        <rFont val="ＭＳ Ｐゴシック"/>
        <family val="3"/>
        <charset val="134"/>
        <scheme val="minor"/>
      </rPr>
      <t>诚</t>
    </r>
  </si>
  <si>
    <r>
      <t>镇</t>
    </r>
    <r>
      <rPr>
        <sz val="11"/>
        <color theme="1"/>
        <rFont val="ＭＳ Ｐゴシック"/>
        <family val="3"/>
        <charset val="128"/>
        <scheme val="minor"/>
      </rPr>
      <t>江</t>
    </r>
    <r>
      <rPr>
        <sz val="11"/>
        <color theme="1"/>
        <rFont val="ＭＳ Ｐゴシック"/>
        <family val="3"/>
        <charset val="134"/>
        <scheme val="minor"/>
      </rPr>
      <t>华创</t>
    </r>
    <r>
      <rPr>
        <sz val="11"/>
        <color theme="1"/>
        <rFont val="ＭＳ Ｐゴシック"/>
        <family val="3"/>
        <charset val="128"/>
        <scheme val="minor"/>
      </rPr>
      <t>信微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</si>
  <si>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 xml:space="preserve">烈酒; 葡萄酒;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果酒（含酒精）; 利口酒;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</t>
    </r>
  </si>
  <si>
    <r>
      <t>崂</t>
    </r>
    <r>
      <rPr>
        <sz val="11"/>
        <color theme="1"/>
        <rFont val="ＭＳ Ｐゴシック"/>
        <family val="3"/>
        <charset val="128"/>
        <scheme val="minor"/>
      </rPr>
      <t>榕</t>
    </r>
  </si>
  <si>
    <r>
      <t>青</t>
    </r>
    <r>
      <rPr>
        <sz val="11"/>
        <color theme="1"/>
        <rFont val="ＭＳ Ｐゴシック"/>
        <family val="3"/>
        <charset val="134"/>
        <scheme val="minor"/>
      </rPr>
      <t>岛伟</t>
    </r>
    <r>
      <rPr>
        <sz val="11"/>
        <color theme="1"/>
        <rFont val="ＭＳ Ｐゴシック"/>
        <family val="3"/>
        <charset val="128"/>
        <scheme val="minor"/>
      </rPr>
      <t>鑫豪学商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服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</si>
  <si>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青稞酒; 白酒; 米酒; 朝</t>
    </r>
    <r>
      <rPr>
        <sz val="11"/>
        <color theme="1"/>
        <rFont val="ＭＳ Ｐゴシック"/>
        <family val="3"/>
        <charset val="134"/>
        <scheme val="minor"/>
      </rPr>
      <t>鲜</t>
    </r>
    <r>
      <rPr>
        <sz val="11"/>
        <color theme="1"/>
        <rFont val="ＭＳ Ｐゴシック"/>
        <family val="3"/>
        <charset val="128"/>
        <scheme val="minor"/>
      </rPr>
      <t>族米酒; 黄酒;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</si>
  <si>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同学一号</t>
  </si>
  <si>
    <r>
      <t>义乌</t>
    </r>
    <r>
      <rPr>
        <sz val="11"/>
        <color theme="1"/>
        <rFont val="ＭＳ Ｐゴシック"/>
        <family val="3"/>
        <charset val="128"/>
        <scheme val="minor"/>
      </rPr>
      <t>市物柚服</t>
    </r>
    <r>
      <rPr>
        <sz val="11"/>
        <color theme="1"/>
        <rFont val="ＭＳ Ｐゴシック"/>
        <family val="3"/>
        <charset val="134"/>
        <scheme val="minor"/>
      </rPr>
      <t>饰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</si>
  <si>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食用酒精;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</t>
    </r>
  </si>
  <si>
    <t>禹琦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</si>
  <si>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州禹琦</t>
    </r>
    <r>
      <rPr>
        <sz val="11"/>
        <color theme="1"/>
        <rFont val="ＭＳ Ｐゴシック"/>
        <family val="3"/>
        <charset val="134"/>
        <scheme val="minor"/>
      </rPr>
      <t>实业</t>
    </r>
    <r>
      <rPr>
        <sz val="11"/>
        <color theme="1"/>
        <rFont val="ＭＳ Ｐゴシック"/>
        <family val="3"/>
        <charset val="128"/>
        <scheme val="minor"/>
      </rPr>
      <t>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</si>
  <si>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米酒; 葡萄酒;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白酒; 白干酒（中国白酒）; 烈酒;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高粱酒; 果酒;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米酒（泡盛酒）</t>
    </r>
  </si>
  <si>
    <t>刘墉</t>
  </si>
  <si>
    <r>
      <t>青</t>
    </r>
    <r>
      <rPr>
        <sz val="11"/>
        <color theme="1"/>
        <rFont val="ＭＳ Ｐゴシック"/>
        <family val="3"/>
        <charset val="134"/>
        <scheme val="minor"/>
      </rPr>
      <t>岛</t>
    </r>
    <r>
      <rPr>
        <sz val="11"/>
        <color theme="1"/>
        <rFont val="ＭＳ Ｐゴシック"/>
        <family val="3"/>
        <charset val="128"/>
        <scheme val="minor"/>
      </rPr>
      <t>区三</t>
    </r>
    <r>
      <rPr>
        <sz val="11"/>
        <color theme="1"/>
        <rFont val="ＭＳ Ｐゴシック"/>
        <family val="3"/>
        <charset val="134"/>
        <scheme val="minor"/>
      </rPr>
      <t>产业</t>
    </r>
    <r>
      <rPr>
        <sz val="11"/>
        <color theme="1"/>
        <rFont val="ＭＳ Ｐゴシック"/>
        <family val="3"/>
        <charset val="128"/>
        <scheme val="minor"/>
      </rPr>
      <t>投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中心（有限合伙）</t>
    </r>
  </si>
  <si>
    <r>
      <t>果酒（含酒精）; 高粱酒;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青稞酒; 甘蔗汁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朗姆酒; 白酒; 葡萄酒; 蜂蜜酒</t>
    </r>
  </si>
  <si>
    <r>
      <t>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鼎昇堂健康管理有限公司</t>
    </r>
  </si>
  <si>
    <r>
      <t xml:space="preserve">烈酒; 白干酒（中国白酒）;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果酒（含酒精）; 米酒;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</si>
  <si>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r>
      <t>坝</t>
    </r>
    <r>
      <rPr>
        <sz val="11"/>
        <color theme="1"/>
        <rFont val="ＭＳ Ｐゴシック"/>
        <family val="3"/>
        <charset val="128"/>
        <scheme val="minor"/>
      </rPr>
      <t>畔芬芳</t>
    </r>
  </si>
  <si>
    <r>
      <t>饶</t>
    </r>
    <r>
      <rPr>
        <sz val="11"/>
        <color theme="1"/>
        <rFont val="ＭＳ Ｐゴシック"/>
        <family val="3"/>
        <charset val="128"/>
        <scheme val="minor"/>
      </rPr>
      <t>玲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</si>
  <si>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开胃酒;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米酒;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</si>
  <si>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幺口香</t>
  </si>
  <si>
    <r>
      <t>孙</t>
    </r>
    <r>
      <rPr>
        <sz val="11"/>
        <color theme="1"/>
        <rFont val="ＭＳ Ｐゴシック"/>
        <family val="3"/>
        <charset val="128"/>
        <scheme val="minor"/>
      </rPr>
      <t>大</t>
    </r>
    <r>
      <rPr>
        <sz val="11"/>
        <color theme="1"/>
        <rFont val="ＭＳ Ｐゴシック"/>
        <family val="3"/>
        <charset val="134"/>
        <scheme val="minor"/>
      </rPr>
      <t>为</t>
    </r>
  </si>
  <si>
    <r>
      <t xml:space="preserve">果酒（含酒精）; 开胃酒;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烈酒; 黄酒;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</si>
  <si>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皖吴至德</t>
  </si>
  <si>
    <r>
      <t>德匠（安徽）酒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</si>
  <si>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蜂蜜酒; 黄酒;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清酒</t>
    </r>
  </si>
  <si>
    <t>冠皿坊</t>
  </si>
  <si>
    <t>李鑫浩</t>
  </si>
  <si>
    <r>
      <t>利口酒; 高粱酒; 白酒; 食用酒精;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米酒（泡盛酒）;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>酒; 露酒;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</t>
    </r>
  </si>
  <si>
    <t>依追</t>
  </si>
  <si>
    <r>
      <t>云南墨醉酒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</si>
  <si>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朗姆酒;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青稞酒; 露酒; 果酒; 白酒; 甜酒; 葡萄酒; 高粱酒; 伏特加酒</t>
    </r>
  </si>
  <si>
    <r>
      <t>贡</t>
    </r>
    <r>
      <rPr>
        <sz val="11"/>
        <color theme="1"/>
        <rFont val="ＭＳ Ｐゴシック"/>
        <family val="3"/>
        <charset val="128"/>
        <scheme val="minor"/>
      </rPr>
      <t>天郡</t>
    </r>
  </si>
  <si>
    <r>
      <t>贡</t>
    </r>
    <r>
      <rPr>
        <sz val="11"/>
        <color theme="1"/>
        <rFont val="ＭＳ Ｐゴシック"/>
        <family val="3"/>
        <charset val="128"/>
        <scheme val="minor"/>
      </rPr>
      <t>胶古</t>
    </r>
    <r>
      <rPr>
        <sz val="11"/>
        <color theme="1"/>
        <rFont val="ＭＳ Ｐゴシック"/>
        <family val="3"/>
        <charset val="134"/>
        <scheme val="minor"/>
      </rPr>
      <t>济</t>
    </r>
    <r>
      <rPr>
        <sz val="11"/>
        <color theme="1"/>
        <rFont val="ＭＳ Ｐゴシック"/>
        <family val="3"/>
        <charset val="128"/>
        <scheme val="minor"/>
      </rPr>
      <t>水老胶坊</t>
    </r>
    <r>
      <rPr>
        <sz val="11"/>
        <color theme="1"/>
        <rFont val="ＭＳ Ｐゴシック"/>
        <family val="3"/>
        <charset val="134"/>
        <scheme val="minor"/>
      </rPr>
      <t>药业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</si>
  <si>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白酒;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蒸煮提取物（利口酒和烈酒）; 利口酒; 食用酒精</t>
    </r>
  </si>
  <si>
    <r>
      <t>苏</t>
    </r>
    <r>
      <rPr>
        <sz val="11"/>
        <color theme="1"/>
        <rFont val="ＭＳ Ｐゴシック"/>
        <family val="3"/>
        <charset val="128"/>
        <scheme val="minor"/>
      </rPr>
      <t>水帝</t>
    </r>
  </si>
  <si>
    <r>
      <t xml:space="preserve">白酒; 朗姆酒;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黄酒; 烈酒; 露酒; 伏特加酒;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</si>
  <si>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星黎</t>
  </si>
  <si>
    <r>
      <t>赵</t>
    </r>
    <r>
      <rPr>
        <sz val="11"/>
        <color theme="1"/>
        <rFont val="ＭＳ Ｐゴシック"/>
        <family val="3"/>
        <charset val="128"/>
        <scheme val="minor"/>
      </rPr>
      <t>志彪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</si>
  <si>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果酒（含酒精）; 威士忌;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</si>
  <si>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本</t>
    </r>
    <r>
      <rPr>
        <sz val="11"/>
        <color theme="1"/>
        <rFont val="ＭＳ Ｐゴシック"/>
        <family val="3"/>
        <charset val="134"/>
        <scheme val="minor"/>
      </rPr>
      <t>络</t>
    </r>
    <r>
      <rPr>
        <sz val="11"/>
        <color theme="1"/>
        <rFont val="ＭＳ Ｐゴシック"/>
        <family val="3"/>
        <charset val="128"/>
        <scheme val="minor"/>
      </rPr>
      <t>液</t>
    </r>
  </si>
  <si>
    <t>周菁</t>
  </si>
  <si>
    <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含酒精的气泡水; 食用酒精; 苦艾酒;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白酒</t>
    </r>
  </si>
  <si>
    <t>听福</t>
  </si>
  <si>
    <r>
      <t>含酒精的水果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青稞酒; 烈酒;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白酒;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主的开胃酒; 白干酒（中国白酒）; 食用酒精; 蜂蜜酒;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</si>
  <si>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粮源成</t>
    </r>
    <r>
      <rPr>
        <sz val="11"/>
        <color theme="1"/>
        <rFont val="ＭＳ Ｐゴシック"/>
        <family val="3"/>
        <charset val="134"/>
        <scheme val="minor"/>
      </rPr>
      <t>祯</t>
    </r>
  </si>
  <si>
    <t>王霞霞</t>
  </si>
  <si>
    <r>
      <t>葡萄酒; 果酒;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黄酒; 威士忌; 清酒;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汽酒; 白酒</t>
    </r>
  </si>
  <si>
    <t>HELCHY</t>
  </si>
  <si>
    <r>
      <t>北京凌云万</t>
    </r>
    <r>
      <rPr>
        <sz val="11"/>
        <color theme="1"/>
        <rFont val="ＭＳ Ｐゴシック"/>
        <family val="3"/>
        <charset val="134"/>
        <scheme val="minor"/>
      </rPr>
      <t>钧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</si>
  <si>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米酒; 清酒;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葡萄酒; 白酒;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</t>
    </r>
  </si>
  <si>
    <t>自足</t>
  </si>
  <si>
    <t>周建楚</t>
  </si>
  <si>
    <r>
      <t>清酒（日本米酒）; 青稞酒;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含酒精的气泡水;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</si>
  <si>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黑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江惠麦文化</t>
    </r>
    <r>
      <rPr>
        <sz val="11"/>
        <color theme="1"/>
        <rFont val="ＭＳ Ｐゴシック"/>
        <family val="3"/>
        <charset val="134"/>
        <scheme val="minor"/>
      </rPr>
      <t>产业</t>
    </r>
    <r>
      <rPr>
        <sz val="11"/>
        <color theme="1"/>
        <rFont val="ＭＳ Ｐゴシック"/>
        <family val="3"/>
        <charset val="128"/>
        <scheme val="minor"/>
      </rPr>
      <t>园有限公司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</si>
  <si>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白酒;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清酒（日本米酒）; 果酒（含酒精）; 开胃酒;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</si>
  <si>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果酒（含酒精）; 米酒; 葡萄酒</t>
    </r>
  </si>
  <si>
    <t>礼相迎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</si>
  <si>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葡萄酒; 黄酒; 米酒; 果酒（含酒精）; 清酒;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</t>
    </r>
  </si>
  <si>
    <t>蓓宴</t>
  </si>
  <si>
    <r>
      <t>周雅</t>
    </r>
    <r>
      <rPr>
        <sz val="11"/>
        <color theme="1"/>
        <rFont val="ＭＳ Ｐゴシック"/>
        <family val="3"/>
        <charset val="134"/>
        <scheme val="minor"/>
      </rPr>
      <t>丽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</si>
  <si>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黄酒; 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</t>
    </r>
  </si>
  <si>
    <t>海湾堡</t>
  </si>
  <si>
    <r>
      <t>香港基因国</t>
    </r>
    <r>
      <rPr>
        <sz val="11"/>
        <color theme="1"/>
        <rFont val="ＭＳ Ｐゴシック"/>
        <family val="3"/>
        <charset val="134"/>
        <scheme val="minor"/>
      </rPr>
      <t>际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</si>
  <si>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黄酒; 伏特加酒; 汽酒; 清酒;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青稞酒;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食用酒精</t>
    </r>
  </si>
  <si>
    <r>
      <t>香</t>
    </r>
    <r>
      <rPr>
        <sz val="11"/>
        <color theme="1"/>
        <rFont val="ＭＳ Ｐゴシック"/>
        <family val="3"/>
        <charset val="134"/>
        <scheme val="minor"/>
      </rPr>
      <t>聂</t>
    </r>
    <r>
      <rPr>
        <sz val="11"/>
        <color theme="1"/>
        <rFont val="ＭＳ Ｐゴシック"/>
        <family val="3"/>
        <charset val="128"/>
        <scheme val="minor"/>
      </rPr>
      <t>河老</t>
    </r>
  </si>
  <si>
    <r>
      <t>聂东</t>
    </r>
    <r>
      <rPr>
        <sz val="11"/>
        <color theme="1"/>
        <rFont val="ＭＳ Ｐゴシック"/>
        <family val="3"/>
        <charset val="128"/>
        <scheme val="minor"/>
      </rPr>
      <t>政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</si>
  <si>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黄酒; 果酒（含酒精）; 白酒;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青稞酒; 食用酒精;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</si>
  <si>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崇醴桂宇九</t>
  </si>
  <si>
    <r>
      <t>上海桂宇九</t>
    </r>
    <r>
      <rPr>
        <sz val="11"/>
        <color theme="1"/>
        <rFont val="ＭＳ Ｐゴシック"/>
        <family val="3"/>
        <charset val="134"/>
        <scheme val="minor"/>
      </rPr>
      <t>农业发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</si>
  <si>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</si>
  <si>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牡粮</t>
  </si>
  <si>
    <t>温焦焦</t>
  </si>
  <si>
    <r>
      <t xml:space="preserve">薄荷酒;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汽酒; 黄酒; 烈酒; 果酒; 清酒; 开胃酒; 白酒</t>
    </r>
  </si>
  <si>
    <r>
      <t>第E</t>
    </r>
    <r>
      <rPr>
        <sz val="11"/>
        <color theme="1"/>
        <rFont val="ＭＳ Ｐゴシック"/>
        <family val="3"/>
        <charset val="134"/>
        <scheme val="minor"/>
      </rPr>
      <t>护卫</t>
    </r>
  </si>
  <si>
    <r>
      <t>岳</t>
    </r>
    <r>
      <rPr>
        <sz val="11"/>
        <color theme="1"/>
        <rFont val="ＭＳ Ｐゴシック"/>
        <family val="3"/>
        <charset val="134"/>
        <scheme val="minor"/>
      </rPr>
      <t>贤凤</t>
    </r>
  </si>
  <si>
    <t>果酒; 米酒; 葡萄酒; 黄酒; 食用酒精; 清酒; 甜酒; 白酒; 开胃酒; 汽酒</t>
  </si>
  <si>
    <r>
      <t>汶</t>
    </r>
    <r>
      <rPr>
        <sz val="11"/>
        <color theme="1"/>
        <rFont val="ＭＳ Ｐゴシック"/>
        <family val="3"/>
        <charset val="134"/>
        <scheme val="minor"/>
      </rPr>
      <t>鐤</t>
    </r>
  </si>
  <si>
    <r>
      <t>济</t>
    </r>
    <r>
      <rPr>
        <sz val="11"/>
        <color theme="1"/>
        <rFont val="ＭＳ Ｐゴシック"/>
        <family val="3"/>
        <charset val="128"/>
        <scheme val="minor"/>
      </rPr>
      <t>南金鼎酒店管理有限公司</t>
    </r>
  </si>
  <si>
    <r>
      <t>白酒; 白干酒（中国白酒）;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黄酒</t>
    </r>
  </si>
  <si>
    <r>
      <t>南裕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坊</t>
    </r>
  </si>
  <si>
    <r>
      <t>朗姆酒;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黄酒; 白酒; 葡萄酒; 米酒;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</si>
  <si>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蟹某某</t>
  </si>
  <si>
    <t>旧交（上海）科技有限公司</t>
  </si>
  <si>
    <r>
      <t xml:space="preserve">食用酒精; 黄酒; 威士忌; 米酒; 白酒;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清酒（日本米酒）;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</si>
  <si>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威斯</t>
    </r>
    <r>
      <rPr>
        <sz val="11"/>
        <color theme="1"/>
        <rFont val="ＭＳ Ｐゴシック"/>
        <family val="3"/>
        <charset val="134"/>
        <scheme val="minor"/>
      </rPr>
      <t>顿宾</t>
    </r>
    <r>
      <rPr>
        <sz val="11"/>
        <color theme="1"/>
        <rFont val="ＭＳ Ｐゴシック"/>
        <family val="3"/>
        <charset val="128"/>
        <scheme val="minor"/>
      </rPr>
      <t>富</t>
    </r>
  </si>
  <si>
    <r>
      <t>厦</t>
    </r>
    <r>
      <rPr>
        <sz val="11"/>
        <color theme="1"/>
        <rFont val="ＭＳ Ｐゴシック"/>
        <family val="3"/>
        <charset val="134"/>
        <scheme val="minor"/>
      </rPr>
      <t>门</t>
    </r>
    <r>
      <rPr>
        <sz val="11"/>
        <color theme="1"/>
        <rFont val="ＭＳ Ｐゴシック"/>
        <family val="3"/>
        <charset val="128"/>
        <scheme val="minor"/>
      </rPr>
      <t>鑫利</t>
    </r>
    <r>
      <rPr>
        <sz val="11"/>
        <color theme="1"/>
        <rFont val="ＭＳ Ｐゴシック"/>
        <family val="3"/>
        <charset val="129"/>
        <scheme val="minor"/>
      </rPr>
      <t>强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</si>
  <si>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白酒; 利口酒; 烈酒; 黄酒; 清酒; 葡萄酒;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</si>
  <si>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茨恋</t>
  </si>
  <si>
    <r>
      <t>潘文</t>
    </r>
    <r>
      <rPr>
        <sz val="11"/>
        <color theme="1"/>
        <rFont val="ＭＳ Ｐゴシック"/>
        <family val="3"/>
        <charset val="134"/>
        <scheme val="minor"/>
      </rPr>
      <t>军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</si>
  <si>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果酒;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白酒; 桃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利口酒; 酸酒（低等葡萄酒）</t>
    </r>
  </si>
  <si>
    <r>
      <t>呈</t>
    </r>
    <r>
      <rPr>
        <sz val="11"/>
        <color theme="1"/>
        <rFont val="ＭＳ Ｐゴシック"/>
        <family val="3"/>
        <charset val="134"/>
        <scheme val="minor"/>
      </rPr>
      <t>满</t>
    </r>
  </si>
  <si>
    <r>
      <t xml:space="preserve">米酒; 烈酒; 葡萄酒; 清酒（日本米酒）; 白干酒（中国白酒）; 高粱酒;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</t>
    </r>
  </si>
  <si>
    <t>天言台</t>
  </si>
  <si>
    <r>
      <t>露酒; 果酒（含酒精）; 苹果酒; 白酒; 餐后酒（利口酒和烈酒）;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米酒;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</si>
  <si>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IMPOWER</t>
  </si>
  <si>
    <r>
      <t>中山安</t>
    </r>
    <r>
      <rPr>
        <sz val="11"/>
        <color theme="1"/>
        <rFont val="ＭＳ Ｐゴシック"/>
        <family val="3"/>
        <charset val="134"/>
        <scheme val="minor"/>
      </rPr>
      <t>铂尔电</t>
    </r>
    <r>
      <rPr>
        <sz val="11"/>
        <color theme="1"/>
        <rFont val="ＭＳ Ｐゴシック"/>
        <family val="3"/>
        <charset val="128"/>
        <scheme val="minor"/>
      </rPr>
      <t>器有限公司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</si>
  <si>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开胃酒; 梨酒; 餐后酒（利口酒和烈酒）; 果酒（含酒精）;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威士忌</t>
    </r>
  </si>
  <si>
    <r>
      <t>岛</t>
    </r>
    <r>
      <rPr>
        <sz val="11"/>
        <color theme="1"/>
        <rFont val="ＭＳ Ｐゴシック"/>
        <family val="3"/>
        <charset val="128"/>
        <scheme val="minor"/>
      </rPr>
      <t>游醉</t>
    </r>
  </si>
  <si>
    <r>
      <t>海南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航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</si>
  <si>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 xml:space="preserve">青稞酒;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伏特加酒;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利口酒;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白酒</t>
    </r>
  </si>
  <si>
    <t>鸿盏</t>
  </si>
  <si>
    <r>
      <t>钟</t>
    </r>
    <r>
      <rPr>
        <sz val="11"/>
        <color theme="1"/>
        <rFont val="ＭＳ Ｐゴシック"/>
        <family val="3"/>
        <charset val="128"/>
        <scheme val="minor"/>
      </rPr>
      <t>美</t>
    </r>
    <r>
      <rPr>
        <sz val="11"/>
        <color theme="1"/>
        <rFont val="ＭＳ Ｐゴシック"/>
        <family val="3"/>
        <charset val="134"/>
        <scheme val="minor"/>
      </rPr>
      <t>华</t>
    </r>
  </si>
  <si>
    <r>
      <t>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果酒（含酒精）</t>
    </r>
  </si>
  <si>
    <r>
      <t>德</t>
    </r>
    <r>
      <rPr>
        <sz val="11"/>
        <color theme="1"/>
        <rFont val="ＭＳ Ｐゴシック"/>
        <family val="3"/>
        <charset val="134"/>
        <scheme val="minor"/>
      </rPr>
      <t>酝</t>
    </r>
    <r>
      <rPr>
        <sz val="11"/>
        <color theme="1"/>
        <rFont val="ＭＳ Ｐゴシック"/>
        <family val="3"/>
        <charset val="128"/>
        <scheme val="minor"/>
      </rPr>
      <t>日月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</si>
  <si>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白酒; 伏特加酒; 果酒;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葡萄酒; 烈酒; 威士忌; 黄酒</t>
    </r>
  </si>
  <si>
    <r>
      <t>顺</t>
    </r>
    <r>
      <rPr>
        <sz val="11"/>
        <color theme="1"/>
        <rFont val="ＭＳ Ｐゴシック"/>
        <family val="3"/>
        <charset val="128"/>
        <scheme val="minor"/>
      </rPr>
      <t>江往事</t>
    </r>
  </si>
  <si>
    <r>
      <t>宜</t>
    </r>
    <r>
      <rPr>
        <sz val="11"/>
        <color theme="1"/>
        <rFont val="ＭＳ Ｐゴシック"/>
        <family val="3"/>
        <charset val="134"/>
        <scheme val="minor"/>
      </rPr>
      <t>宾</t>
    </r>
    <r>
      <rPr>
        <sz val="11"/>
        <color theme="1"/>
        <rFont val="ＭＳ Ｐゴシック"/>
        <family val="3"/>
        <charset val="128"/>
        <scheme val="minor"/>
      </rPr>
      <t>子均</t>
    </r>
    <r>
      <rPr>
        <sz val="11"/>
        <color theme="1"/>
        <rFont val="ＭＳ Ｐゴシック"/>
        <family val="3"/>
        <charset val="134"/>
        <scheme val="minor"/>
      </rPr>
      <t>邓</t>
    </r>
    <r>
      <rPr>
        <sz val="11"/>
        <color theme="1"/>
        <rFont val="ＭＳ Ｐゴシック"/>
        <family val="3"/>
        <charset val="128"/>
        <scheme val="minor"/>
      </rPr>
      <t>公液酒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</si>
  <si>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开胃酒;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蜂蜜酒; 烈酒;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白酒</t>
    </r>
  </si>
  <si>
    <r>
      <t>不二</t>
    </r>
    <r>
      <rPr>
        <sz val="11"/>
        <color theme="1"/>
        <rFont val="ＭＳ Ｐゴシック"/>
        <family val="3"/>
        <charset val="134"/>
        <scheme val="minor"/>
      </rPr>
      <t>壶</t>
    </r>
  </si>
  <si>
    <r>
      <t>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露酒;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青稞酒; 米酒; 黄酒; 果酒（含酒精）</t>
    </r>
  </si>
  <si>
    <r>
      <t>鱼</t>
    </r>
    <r>
      <rPr>
        <sz val="11"/>
        <color theme="1"/>
        <rFont val="ＭＳ Ｐゴシック"/>
        <family val="3"/>
        <charset val="128"/>
        <scheme val="minor"/>
      </rPr>
      <t>城烟雨</t>
    </r>
  </si>
  <si>
    <t>向小容</t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</si>
  <si>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米酒; 朗姆酒;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开胃酒; 薄荷酒; 苦味酒;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</t>
    </r>
  </si>
  <si>
    <t>同勉</t>
  </si>
  <si>
    <t>程瑞明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</si>
  <si>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白酒;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汽酒; 佐餐酒; 米酒; 黄酒; 葡萄酒; 白干酒（中国白酒）; 果酒</t>
    </r>
  </si>
  <si>
    <r>
      <t>呈遵</t>
    </r>
    <r>
      <rPr>
        <sz val="11"/>
        <color theme="1"/>
        <rFont val="ＭＳ Ｐゴシック"/>
        <family val="3"/>
        <charset val="134"/>
        <scheme val="minor"/>
      </rPr>
      <t>贵</t>
    </r>
  </si>
  <si>
    <t>叶文豪</t>
  </si>
  <si>
    <r>
      <t xml:space="preserve">食用酒精; 果酒（含酒精）; 葡萄酒;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</t>
    </r>
  </si>
  <si>
    <r>
      <t>南山盛</t>
    </r>
    <r>
      <rPr>
        <sz val="11"/>
        <color theme="1"/>
        <rFont val="ＭＳ Ｐゴシック"/>
        <family val="3"/>
        <charset val="134"/>
        <scheme val="minor"/>
      </rPr>
      <t>龙</t>
    </r>
  </si>
  <si>
    <r>
      <t>葡萄酒; 伏特加酒;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食用酒精;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白酒; 青稞酒;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米酒; 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</si>
  <si>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翁井沁心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</si>
  <si>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州新金翁生</t>
    </r>
    <r>
      <rPr>
        <sz val="11"/>
        <color theme="1"/>
        <rFont val="ＭＳ Ｐゴシック"/>
        <family val="3"/>
        <charset val="134"/>
        <scheme val="minor"/>
      </rPr>
      <t>态农业发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</si>
  <si>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米酒; 白酒;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草莓酒;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</si>
  <si>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满</t>
    </r>
    <r>
      <rPr>
        <sz val="11"/>
        <color theme="1"/>
        <rFont val="ＭＳ Ｐゴシック"/>
        <family val="3"/>
        <charset val="128"/>
        <scheme val="minor"/>
      </rPr>
      <t>家</t>
    </r>
    <r>
      <rPr>
        <sz val="11"/>
        <color theme="1"/>
        <rFont val="ＭＳ Ｐゴシック"/>
        <family val="3"/>
        <charset val="134"/>
        <scheme val="minor"/>
      </rPr>
      <t>庆</t>
    </r>
  </si>
  <si>
    <r>
      <t>重</t>
    </r>
    <r>
      <rPr>
        <sz val="11"/>
        <color theme="1"/>
        <rFont val="ＭＳ Ｐゴシック"/>
        <family val="3"/>
        <charset val="134"/>
        <scheme val="minor"/>
      </rPr>
      <t>庆</t>
    </r>
    <r>
      <rPr>
        <sz val="11"/>
        <color theme="1"/>
        <rFont val="ＭＳ Ｐゴシック"/>
        <family val="3"/>
        <charset val="128"/>
        <scheme val="minor"/>
      </rPr>
      <t>市八</t>
    </r>
    <r>
      <rPr>
        <sz val="11"/>
        <color theme="1"/>
        <rFont val="ＭＳ Ｐゴシック"/>
        <family val="3"/>
        <charset val="134"/>
        <scheme val="minor"/>
      </rPr>
      <t>颗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</si>
  <si>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伏特加酒;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开胃酒; 米酒; 食用酒精; 葡萄酒; 薄荷酒</t>
    </r>
  </si>
  <si>
    <r>
      <t>涧</t>
    </r>
    <r>
      <rPr>
        <sz val="11"/>
        <color theme="1"/>
        <rFont val="ＭＳ Ｐゴシック"/>
        <family val="3"/>
        <charset val="128"/>
        <scheme val="minor"/>
      </rPr>
      <t>九州</t>
    </r>
  </si>
  <si>
    <r>
      <t>黄酒; 米酒;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清酒（日本米酒）; 梅酒; 开胃酒; 高粱酒;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</t>
    </r>
  </si>
  <si>
    <r>
      <t>泲</t>
    </r>
    <r>
      <rPr>
        <sz val="11"/>
        <color theme="1"/>
        <rFont val="ＭＳ Ｐゴシック"/>
        <family val="3"/>
        <charset val="134"/>
        <scheme val="minor"/>
      </rPr>
      <t>隐</t>
    </r>
    <r>
      <rPr>
        <sz val="11"/>
        <color theme="1"/>
        <rFont val="ＭＳ Ｐゴシック"/>
        <family val="3"/>
        <charset val="128"/>
        <scheme val="minor"/>
      </rPr>
      <t>君山</t>
    </r>
  </si>
  <si>
    <t>李建玲</t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</si>
  <si>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汽酒; 食用酒精; 清酒; 黄酒;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</t>
    </r>
  </si>
  <si>
    <r>
      <t>蕴</t>
    </r>
    <r>
      <rPr>
        <sz val="11"/>
        <color theme="1"/>
        <rFont val="ＭＳ Ｐゴシック"/>
        <family val="3"/>
        <charset val="128"/>
        <scheme val="minor"/>
      </rPr>
      <t>香台</t>
    </r>
  </si>
  <si>
    <t>洪小珍</t>
  </si>
  <si>
    <r>
      <t xml:space="preserve">青稞酒; 黄酒;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葡萄酒; 白酒; 果酒（含酒精）; 清酒（日本米酒）</t>
    </r>
  </si>
  <si>
    <r>
      <t>晶彩拾</t>
    </r>
    <r>
      <rPr>
        <sz val="11"/>
        <color theme="1"/>
        <rFont val="ＭＳ Ｐゴシック"/>
        <family val="3"/>
        <charset val="134"/>
        <scheme val="minor"/>
      </rPr>
      <t>贰</t>
    </r>
    <r>
      <rPr>
        <sz val="11"/>
        <color theme="1"/>
        <rFont val="ＭＳ Ｐゴシック"/>
        <family val="3"/>
        <charset val="128"/>
        <scheme val="minor"/>
      </rPr>
      <t>肖</t>
    </r>
  </si>
  <si>
    <r>
      <t>郑</t>
    </r>
    <r>
      <rPr>
        <sz val="11"/>
        <color theme="1"/>
        <rFont val="ＭＳ Ｐゴシック"/>
        <family val="3"/>
        <charset val="128"/>
        <scheme val="minor"/>
      </rPr>
      <t>燕</t>
    </r>
    <r>
      <rPr>
        <sz val="11"/>
        <color theme="1"/>
        <rFont val="ＭＳ Ｐゴシック"/>
        <family val="3"/>
        <charset val="134"/>
        <scheme val="minor"/>
      </rPr>
      <t>飞</t>
    </r>
  </si>
  <si>
    <r>
      <t>黄酒; 白酒; 果酒（含酒精）; 米酒; 青梅酒;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果酒;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 xml:space="preserve">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</si>
  <si>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硬倍达</t>
  </si>
  <si>
    <r>
      <t>安徽美好仁家网</t>
    </r>
    <r>
      <rPr>
        <sz val="11"/>
        <color theme="1"/>
        <rFont val="ＭＳ Ｐゴシック"/>
        <family val="3"/>
        <charset val="134"/>
        <scheme val="minor"/>
      </rPr>
      <t>络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</si>
  <si>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含酒精的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尾酒混合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品; 汽酒;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果酒（含酒精）; 白酒; 葡萄酒; 含酒精的充气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</t>
    </r>
  </si>
  <si>
    <r>
      <t xml:space="preserve">米酒; 果酒（含酒精）; 清酒; 葡萄酒;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</si>
  <si>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刘正</t>
    </r>
    <r>
      <rPr>
        <sz val="11"/>
        <color theme="1"/>
        <rFont val="ＭＳ Ｐゴシック"/>
        <family val="3"/>
        <charset val="134"/>
        <scheme val="minor"/>
      </rPr>
      <t>军</t>
    </r>
  </si>
  <si>
    <r>
      <t>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果酒; 清酒; 白酒;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利口酒; 烈酒</t>
    </r>
  </si>
  <si>
    <r>
      <t>畅</t>
    </r>
    <r>
      <rPr>
        <sz val="11"/>
        <color theme="1"/>
        <rFont val="ＭＳ Ｐゴシック"/>
        <family val="3"/>
        <charset val="128"/>
        <scheme val="minor"/>
      </rPr>
      <t>洋宝泉</t>
    </r>
  </si>
  <si>
    <r>
      <t>于</t>
    </r>
    <r>
      <rPr>
        <sz val="11"/>
        <color theme="1"/>
        <rFont val="ＭＳ Ｐゴシック"/>
        <family val="3"/>
        <charset val="134"/>
        <scheme val="minor"/>
      </rPr>
      <t>刚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</si>
  <si>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清酒（日本米酒）; 威士忌; 白酒; 伏特加酒;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</si>
  <si>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巷源味</t>
  </si>
  <si>
    <r>
      <t>湖北巷源味餐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</si>
  <si>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利口酒; 黄酒; 清酒（日本米酒）; 梅酒;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>酒; 米酒; 葡萄酒; 白酒; 果酒; 开胃酒</t>
    </r>
  </si>
  <si>
    <t>岭花御液</t>
  </si>
  <si>
    <r>
      <t>吉安市青原区岭花村</t>
    </r>
    <r>
      <rPr>
        <sz val="11"/>
        <color theme="1"/>
        <rFont val="ＭＳ Ｐゴシック"/>
        <family val="3"/>
        <charset val="134"/>
        <scheme val="minor"/>
      </rPr>
      <t>农业</t>
    </r>
    <r>
      <rPr>
        <sz val="11"/>
        <color theme="1"/>
        <rFont val="ＭＳ Ｐゴシック"/>
        <family val="3"/>
        <charset val="128"/>
        <scheme val="minor"/>
      </rPr>
      <t>科技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</t>
    </r>
    <r>
      <rPr>
        <sz val="11"/>
        <color theme="1"/>
        <rFont val="ＭＳ Ｐゴシック"/>
        <family val="3"/>
        <charset val="134"/>
        <scheme val="minor"/>
      </rPr>
      <t>专业</t>
    </r>
    <r>
      <rPr>
        <sz val="11"/>
        <color theme="1"/>
        <rFont val="ＭＳ Ｐゴシック"/>
        <family val="3"/>
        <charset val="128"/>
        <scheme val="minor"/>
      </rPr>
      <t>合作社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</si>
  <si>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黄酒;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蜂蜜酒; 米酒</t>
    </r>
  </si>
  <si>
    <t>彩教</t>
  </si>
  <si>
    <r>
      <t>海南春彩</t>
    </r>
    <r>
      <rPr>
        <sz val="11"/>
        <color theme="1"/>
        <rFont val="ＭＳ Ｐゴシック"/>
        <family val="3"/>
        <charset val="134"/>
        <scheme val="minor"/>
      </rPr>
      <t>电</t>
    </r>
    <r>
      <rPr>
        <sz val="11"/>
        <color theme="1"/>
        <rFont val="ＭＳ Ｐゴシック"/>
        <family val="3"/>
        <charset val="128"/>
        <scheme val="minor"/>
      </rPr>
      <t>子商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</si>
  <si>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食用酒精; 果酒（含酒精）; 葡萄酒; 青稞酒;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</si>
  <si>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舁</t>
    </r>
    <r>
      <rPr>
        <sz val="11"/>
        <color theme="1"/>
        <rFont val="ＭＳ Ｐゴシック"/>
        <family val="3"/>
        <charset val="134"/>
        <scheme val="minor"/>
      </rPr>
      <t>记</t>
    </r>
  </si>
  <si>
    <t>山西舁仁福生物科技有限公司</t>
  </si>
  <si>
    <r>
      <t xml:space="preserve">果酒（含酒精）; 米酒; 开胃酒; 葡萄酒; 白酒;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青稞酒;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</si>
  <si>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玺鸿</t>
    </r>
    <r>
      <rPr>
        <sz val="11"/>
        <color theme="1"/>
        <rFont val="ＭＳ Ｐゴシック"/>
        <family val="3"/>
        <charset val="128"/>
        <scheme val="minor"/>
      </rPr>
      <t>源</t>
    </r>
  </si>
  <si>
    <t>刘桂秀</t>
  </si>
  <si>
    <r>
      <t xml:space="preserve">葡萄酒;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烈酒; 白酒; 威士忌; 青稞酒;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</si>
  <si>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翌福</t>
  </si>
  <si>
    <t>傅志琳</t>
  </si>
  <si>
    <r>
      <t>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高粱酒;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米酒; 葡萄酒; 白酒; 果酒; 白干酒（中国白酒）;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</si>
  <si>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松三</t>
    </r>
    <r>
      <rPr>
        <sz val="11"/>
        <color theme="1"/>
        <rFont val="ＭＳ Ｐゴシック"/>
        <family val="3"/>
        <charset val="134"/>
        <scheme val="minor"/>
      </rPr>
      <t>岁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</si>
  <si>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酒（烈酒）; 白酒; 五加皮酒（中国混合烈酒）; 葡萄酒; 米酒; 白葡萄酒;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果酒（含酒精）; 白干酒（中国白酒）; 高粱酒</t>
    </r>
  </si>
  <si>
    <t>高途佳品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</si>
  <si>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清酒（日本米酒）; 开胃酒;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食用酒精; 白酒; 蒸煮提取物（利口酒和烈酒）;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</si>
  <si>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正美</t>
    </r>
  </si>
  <si>
    <t>敖旭</t>
  </si>
  <si>
    <r>
      <t xml:space="preserve">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蜂蜜酒;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开胃酒;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葡萄酒</t>
    </r>
  </si>
  <si>
    <t>沪棕熊</t>
  </si>
  <si>
    <r>
      <t>越帆(上海)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</si>
  <si>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朗姆酒; 利口酒;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葡萄酒; 威士忌; 伏特加酒; 清酒（日本米酒）</t>
    </r>
  </si>
  <si>
    <t>达味江南</t>
  </si>
  <si>
    <t>胡文霞</t>
  </si>
  <si>
    <r>
      <t>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</si>
  <si>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丰</t>
    </r>
  </si>
  <si>
    <r>
      <t>黄</t>
    </r>
    <r>
      <rPr>
        <sz val="11"/>
        <color theme="1"/>
        <rFont val="ＭＳ Ｐゴシック"/>
        <family val="3"/>
        <charset val="134"/>
        <scheme val="minor"/>
      </rPr>
      <t>汉尧</t>
    </r>
  </si>
  <si>
    <r>
      <t>餐后酒（利口酒和烈酒）; 葡萄酒; 朗姆酒;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苹果酒; 伏特加酒;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茴香酒（利口酒）</t>
    </r>
  </si>
  <si>
    <t>紫色公爵</t>
  </si>
  <si>
    <r>
      <t>马</t>
    </r>
    <r>
      <rPr>
        <sz val="11"/>
        <color theme="1"/>
        <rFont val="ＭＳ Ｐゴシック"/>
        <family val="3"/>
        <charset val="128"/>
        <scheme val="minor"/>
      </rPr>
      <t>玲</t>
    </r>
  </si>
  <si>
    <r>
      <t xml:space="preserve">清酒（日本米酒）;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果酒（含酒精）;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</si>
  <si>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守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城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</si>
  <si>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梅酒;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开胃酒; 米酒; 高粱酒; 清酒（日本米酒）; 果酒（含酒精）</t>
    </r>
  </si>
  <si>
    <t>福申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</si>
  <si>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州福申福品牌管理有限公司</t>
    </r>
  </si>
  <si>
    <r>
      <t>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酒（烈酒）; 烈酒; 高粱酒;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</si>
  <si>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开口笑福藏</t>
  </si>
  <si>
    <r>
      <t>葡萄酒; 威士忌; 黄酒; 白酒; 利口酒;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</si>
  <si>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WDM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</si>
  <si>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威士忌;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</t>
    </r>
  </si>
  <si>
    <r>
      <t>苏</t>
    </r>
    <r>
      <rPr>
        <sz val="11"/>
        <color theme="1"/>
        <rFont val="ＭＳ Ｐゴシック"/>
        <family val="3"/>
        <charset val="128"/>
        <scheme val="minor"/>
      </rPr>
      <t>芯水宝宝</t>
    </r>
  </si>
  <si>
    <r>
      <t>江</t>
    </r>
    <r>
      <rPr>
        <sz val="11"/>
        <color theme="1"/>
        <rFont val="ＭＳ Ｐゴシック"/>
        <family val="3"/>
        <charset val="134"/>
        <scheme val="minor"/>
      </rPr>
      <t>苏苏</t>
    </r>
    <r>
      <rPr>
        <sz val="11"/>
        <color theme="1"/>
        <rFont val="ＭＳ Ｐゴシック"/>
        <family val="3"/>
        <charset val="128"/>
        <scheme val="minor"/>
      </rPr>
      <t>芯水宝宝健康科技有限公司</t>
    </r>
  </si>
  <si>
    <r>
      <t xml:space="preserve">薄荷酒; 果酒（含酒精）; 米酒; 朗姆酒; 苹果酒;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青稞酒;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</si>
  <si>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公</t>
    </r>
    <r>
      <rPr>
        <sz val="11"/>
        <color theme="1"/>
        <rFont val="ＭＳ Ｐゴシック"/>
        <family val="3"/>
        <charset val="134"/>
        <scheme val="minor"/>
      </rPr>
      <t>圆</t>
    </r>
    <r>
      <rPr>
        <sz val="11"/>
        <color theme="1"/>
        <rFont val="ＭＳ Ｐゴシック"/>
        <family val="3"/>
        <charset val="128"/>
        <scheme val="minor"/>
      </rPr>
      <t>七佰</t>
    </r>
  </si>
  <si>
    <r>
      <t>四川</t>
    </r>
    <r>
      <rPr>
        <sz val="11"/>
        <color theme="1"/>
        <rFont val="ＭＳ Ｐゴシック"/>
        <family val="3"/>
        <charset val="134"/>
        <scheme val="minor"/>
      </rPr>
      <t>图</t>
    </r>
    <r>
      <rPr>
        <sz val="11"/>
        <color theme="1"/>
        <rFont val="ＭＳ Ｐゴシック"/>
        <family val="3"/>
        <charset val="128"/>
        <scheme val="minor"/>
      </rPr>
      <t>拉香</t>
    </r>
    <r>
      <rPr>
        <sz val="11"/>
        <color theme="1"/>
        <rFont val="ＭＳ Ｐゴシック"/>
        <family val="3"/>
        <charset val="134"/>
        <scheme val="minor"/>
      </rPr>
      <t>实业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</si>
  <si>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葡萄酒;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开胃酒;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</si>
  <si>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丰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坊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</si>
  <si>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食用酒精;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高粱酒; 露酒; 威士忌; 白酒; 果酒（含酒精）;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</si>
  <si>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t>凉醉</t>
  </si>
  <si>
    <r>
      <t>谢</t>
    </r>
    <r>
      <rPr>
        <sz val="11"/>
        <color theme="1"/>
        <rFont val="ＭＳ Ｐゴシック"/>
        <family val="3"/>
        <charset val="128"/>
        <scheme val="minor"/>
      </rPr>
      <t>双琴******************</t>
    </r>
  </si>
  <si>
    <r>
      <t>葡萄酒;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露酒;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>酒; 果酒; 白酒; 米酒; 白干酒（中国白酒）; 高粱酒</t>
    </r>
  </si>
  <si>
    <r>
      <t>杠四</t>
    </r>
    <r>
      <rPr>
        <sz val="11"/>
        <color theme="1"/>
        <rFont val="ＭＳ Ｐゴシック"/>
        <family val="3"/>
        <charset val="134"/>
        <scheme val="minor"/>
      </rPr>
      <t>爷</t>
    </r>
  </si>
  <si>
    <r>
      <t>广州</t>
    </r>
    <r>
      <rPr>
        <sz val="11"/>
        <color theme="1"/>
        <rFont val="ＭＳ Ｐゴシック"/>
        <family val="3"/>
        <charset val="134"/>
        <scheme val="minor"/>
      </rPr>
      <t>铭</t>
    </r>
    <r>
      <rPr>
        <sz val="11"/>
        <color theme="1"/>
        <rFont val="ＭＳ Ｐゴシック"/>
        <family val="3"/>
        <charset val="128"/>
        <scheme val="minor"/>
      </rPr>
      <t>瀚商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</si>
  <si>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 xml:space="preserve">汁;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米酒;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</si>
  <si>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邛州琴台酒</t>
  </si>
  <si>
    <t>高建国</t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</si>
  <si>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黄酒; 青稞酒; 米酒; 威士忌; 果酒（含酒精）; 食用酒精</t>
    </r>
  </si>
  <si>
    <t>千百魅</t>
  </si>
  <si>
    <t>李国彬</t>
  </si>
  <si>
    <r>
      <t>果酒（含酒精）; 伏特加酒; 蜂蜜酒;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露酒;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果酒; 含酒精的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尾酒混合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品</t>
    </r>
  </si>
  <si>
    <r>
      <t>浦</t>
    </r>
    <r>
      <rPr>
        <sz val="11"/>
        <color theme="1"/>
        <rFont val="ＭＳ Ｐゴシック"/>
        <family val="3"/>
        <charset val="134"/>
        <scheme val="minor"/>
      </rPr>
      <t>风</t>
    </r>
  </si>
  <si>
    <t>徐烟******************</t>
  </si>
  <si>
    <r>
      <t>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汽酒;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白酒</t>
    </r>
  </si>
  <si>
    <r>
      <t>黔榜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承</t>
    </r>
    <r>
      <rPr>
        <sz val="11"/>
        <color theme="1"/>
        <rFont val="ＭＳ Ｐゴシック"/>
        <family val="3"/>
        <charset val="134"/>
        <scheme val="minor"/>
      </rPr>
      <t>经</t>
    </r>
    <r>
      <rPr>
        <sz val="11"/>
        <color theme="1"/>
        <rFont val="ＭＳ Ｐゴシック"/>
        <family val="3"/>
        <charset val="128"/>
        <scheme val="minor"/>
      </rPr>
      <t>典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</si>
  <si>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州八百科技有限公司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</si>
  <si>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白酒; 蜂蜜酒;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开胃酒;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果酒（含酒精）</t>
    </r>
  </si>
  <si>
    <r>
      <t>安</t>
    </r>
    <r>
      <rPr>
        <sz val="11"/>
        <color theme="1"/>
        <rFont val="ＭＳ Ｐゴシック"/>
        <family val="3"/>
        <charset val="134"/>
        <scheme val="minor"/>
      </rPr>
      <t>驿</t>
    </r>
  </si>
  <si>
    <r>
      <t>南昌市</t>
    </r>
    <r>
      <rPr>
        <sz val="11"/>
        <color theme="1"/>
        <rFont val="ＭＳ Ｐゴシック"/>
        <family val="3"/>
        <charset val="134"/>
        <scheme val="minor"/>
      </rPr>
      <t>绿</t>
    </r>
    <r>
      <rPr>
        <sz val="11"/>
        <color theme="1"/>
        <rFont val="ＭＳ Ｐゴシック"/>
        <family val="3"/>
        <charset val="128"/>
        <scheme val="minor"/>
      </rPr>
      <t>溪</t>
    </r>
    <r>
      <rPr>
        <sz val="11"/>
        <color theme="1"/>
        <rFont val="ＭＳ Ｐゴシック"/>
        <family val="3"/>
        <charset val="134"/>
        <scheme val="minor"/>
      </rPr>
      <t>农业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</si>
  <si>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葡萄酒;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</t>
    </r>
  </si>
  <si>
    <r>
      <t>衢</t>
    </r>
    <r>
      <rPr>
        <sz val="11"/>
        <color theme="1"/>
        <rFont val="ＭＳ Ｐゴシック"/>
        <family val="3"/>
        <charset val="134"/>
        <scheme val="minor"/>
      </rPr>
      <t>纵欢</t>
    </r>
  </si>
  <si>
    <r>
      <t xml:space="preserve">蒸煮提取物（利口酒和烈酒）;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威士忌;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</si>
  <si>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蒙山</t>
    </r>
    <r>
      <rPr>
        <sz val="11"/>
        <color theme="1"/>
        <rFont val="ＭＳ Ｐゴシック"/>
        <family val="3"/>
        <charset val="134"/>
        <scheme val="minor"/>
      </rPr>
      <t>贡</t>
    </r>
  </si>
  <si>
    <r>
      <t>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蒙山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酒有限公司</t>
    </r>
  </si>
  <si>
    <r>
      <t>果酒（含酒精）;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食用酒精; 开胃酒; 利口酒; 蜂蜜酒; 黄酒;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白酒</t>
    </r>
  </si>
  <si>
    <r>
      <t>乐</t>
    </r>
    <r>
      <rPr>
        <sz val="11"/>
        <color theme="1"/>
        <rFont val="ＭＳ Ｐゴシック"/>
        <family val="3"/>
        <charset val="128"/>
        <scheme val="minor"/>
      </rPr>
      <t>梦仙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</si>
  <si>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白酒; 米酒; 清酒（日本米酒）; 黄酒; 开胃酒; 葡萄酒; 果酒（含酒精）</t>
    </r>
  </si>
  <si>
    <t>正幸福</t>
  </si>
  <si>
    <r>
      <t>天台聚</t>
    </r>
    <r>
      <rPr>
        <sz val="11"/>
        <color theme="1"/>
        <rFont val="ＭＳ Ｐゴシック"/>
        <family val="3"/>
        <charset val="134"/>
        <scheme val="minor"/>
      </rPr>
      <t>缘</t>
    </r>
    <r>
      <rPr>
        <sz val="11"/>
        <color theme="1"/>
        <rFont val="ＭＳ Ｐゴシック"/>
        <family val="3"/>
        <charset val="128"/>
        <scheme val="minor"/>
      </rPr>
      <t>坊酒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</si>
  <si>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 xml:space="preserve">梅酒; 甜酒; 烈酒; 果酒;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青梅酒; 米酒; 黄酒</t>
    </r>
  </si>
  <si>
    <r>
      <t>雪</t>
    </r>
    <r>
      <rPr>
        <sz val="11"/>
        <color theme="1"/>
        <rFont val="ＭＳ Ｐゴシック"/>
        <family val="3"/>
        <charset val="134"/>
        <scheme val="minor"/>
      </rPr>
      <t>飘</t>
    </r>
    <r>
      <rPr>
        <sz val="11"/>
        <color theme="1"/>
        <rFont val="ＭＳ Ｐゴシック"/>
        <family val="3"/>
        <charset val="128"/>
        <scheme val="minor"/>
      </rPr>
      <t>人</t>
    </r>
    <r>
      <rPr>
        <sz val="11"/>
        <color theme="1"/>
        <rFont val="ＭＳ Ｐゴシック"/>
        <family val="3"/>
        <charset val="134"/>
        <scheme val="minor"/>
      </rPr>
      <t>间</t>
    </r>
  </si>
  <si>
    <t>唐俊杰</t>
  </si>
  <si>
    <r>
      <t>葡萄酒; 果酒（含酒精）; 草莓酒; 高粱酒;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梨酒; 米酒; 果酒;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 xml:space="preserve">梅酒;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</t>
    </r>
  </si>
  <si>
    <r>
      <t>爱</t>
    </r>
    <r>
      <rPr>
        <sz val="11"/>
        <color theme="1"/>
        <rFont val="ＭＳ Ｐゴシック"/>
        <family val="3"/>
        <charset val="128"/>
        <scheme val="minor"/>
      </rPr>
      <t>来康</t>
    </r>
  </si>
  <si>
    <t>洛阳商信禾食品有限公司</t>
  </si>
  <si>
    <r>
      <t xml:space="preserve">白酒; 高粱酒;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黄酒; 米酒; 梅酒; 利口酒; 葡萄酒; 果酒;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</t>
    </r>
  </si>
  <si>
    <r>
      <t>澜</t>
    </r>
    <r>
      <rPr>
        <sz val="11"/>
        <color theme="1"/>
        <rFont val="ＭＳ Ｐゴシック"/>
        <family val="3"/>
        <charset val="128"/>
        <scheme val="minor"/>
      </rPr>
      <t>章</t>
    </r>
  </si>
  <si>
    <t>云南山江谷葡萄酒有限公司</t>
  </si>
  <si>
    <r>
      <t>白酒; 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</t>
    </r>
  </si>
  <si>
    <t>巨卿星耀</t>
  </si>
  <si>
    <r>
      <t>北京中科</t>
    </r>
    <r>
      <rPr>
        <sz val="11"/>
        <color theme="1"/>
        <rFont val="ＭＳ Ｐゴシック"/>
        <family val="3"/>
        <charset val="134"/>
        <scheme val="minor"/>
      </rPr>
      <t>桦</t>
    </r>
    <r>
      <rPr>
        <sz val="11"/>
        <color theme="1"/>
        <rFont val="ＭＳ Ｐゴシック"/>
        <family val="3"/>
        <charset val="128"/>
        <scheme val="minor"/>
      </rPr>
      <t>丰医</t>
    </r>
    <r>
      <rPr>
        <sz val="11"/>
        <color theme="1"/>
        <rFont val="ＭＳ Ｐゴシック"/>
        <family val="3"/>
        <charset val="134"/>
        <scheme val="minor"/>
      </rPr>
      <t>疗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</si>
  <si>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果酒（含酒精）;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干型苹果酒; 威士忌</t>
    </r>
  </si>
  <si>
    <r>
      <t>龙</t>
    </r>
    <r>
      <rPr>
        <sz val="11"/>
        <color theme="1"/>
        <rFont val="ＭＳ Ｐゴシック"/>
        <family val="3"/>
        <charset val="128"/>
        <scheme val="minor"/>
      </rPr>
      <t>小谷</t>
    </r>
  </si>
  <si>
    <r>
      <t>石</t>
    </r>
    <r>
      <rPr>
        <sz val="11"/>
        <color theme="1"/>
        <rFont val="ＭＳ Ｐゴシック"/>
        <family val="3"/>
        <charset val="134"/>
        <scheme val="minor"/>
      </rPr>
      <t>狮</t>
    </r>
    <r>
      <rPr>
        <sz val="11"/>
        <color theme="1"/>
        <rFont val="ＭＳ Ｐゴシック"/>
        <family val="3"/>
        <charset val="128"/>
        <scheme val="minor"/>
      </rPr>
      <t>市国</t>
    </r>
    <r>
      <rPr>
        <sz val="11"/>
        <color theme="1"/>
        <rFont val="ＭＳ Ｐゴシック"/>
        <family val="3"/>
        <charset val="134"/>
        <scheme val="minor"/>
      </rPr>
      <t>练</t>
    </r>
    <r>
      <rPr>
        <sz val="11"/>
        <color theme="1"/>
        <rFont val="ＭＳ Ｐゴシック"/>
        <family val="3"/>
        <charset val="128"/>
        <scheme val="minor"/>
      </rPr>
      <t>遇网</t>
    </r>
    <r>
      <rPr>
        <sz val="11"/>
        <color theme="1"/>
        <rFont val="ＭＳ Ｐゴシック"/>
        <family val="3"/>
        <charset val="134"/>
        <scheme val="minor"/>
      </rPr>
      <t>络</t>
    </r>
    <r>
      <rPr>
        <sz val="11"/>
        <color theme="1"/>
        <rFont val="ＭＳ Ｐゴシック"/>
        <family val="3"/>
        <charset val="128"/>
        <scheme val="minor"/>
      </rPr>
      <t>百</t>
    </r>
    <r>
      <rPr>
        <sz val="11"/>
        <color theme="1"/>
        <rFont val="ＭＳ Ｐゴシック"/>
        <family val="3"/>
        <charset val="134"/>
        <scheme val="minor"/>
      </rPr>
      <t>货</t>
    </r>
    <r>
      <rPr>
        <sz val="11"/>
        <color theme="1"/>
        <rFont val="ＭＳ Ｐゴシック"/>
        <family val="3"/>
        <charset val="128"/>
        <scheme val="minor"/>
      </rPr>
      <t>商行</t>
    </r>
  </si>
  <si>
    <r>
      <t>黄酒; 青稞酒; 果酒;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清酒;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威士忌</t>
    </r>
  </si>
  <si>
    <t>迎瀚</t>
  </si>
  <si>
    <r>
      <t>黄酒; 葡萄酒; 果酒（含酒精）; 白酒; 伏特加酒;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清酒（日本米酒）; 米酒; 威士忌</t>
    </r>
  </si>
  <si>
    <r>
      <t>陈</t>
    </r>
    <r>
      <rPr>
        <sz val="11"/>
        <color theme="1"/>
        <rFont val="ＭＳ Ｐゴシック"/>
        <family val="3"/>
        <charset val="128"/>
        <scheme val="minor"/>
      </rPr>
      <t>一凡</t>
    </r>
  </si>
  <si>
    <r>
      <t>福建安溪</t>
    </r>
    <r>
      <rPr>
        <sz val="11"/>
        <color theme="1"/>
        <rFont val="ＭＳ Ｐゴシック"/>
        <family val="3"/>
        <charset val="134"/>
        <scheme val="minor"/>
      </rPr>
      <t>县陈</t>
    </r>
    <r>
      <rPr>
        <sz val="11"/>
        <color theme="1"/>
        <rFont val="ＭＳ Ｐゴシック"/>
        <family val="3"/>
        <charset val="128"/>
        <scheme val="minor"/>
      </rPr>
      <t>一凡食品工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</si>
  <si>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葡萄酒; 果酒; 开胃酒; 烈酒;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威士忌; 米酒</t>
    </r>
  </si>
  <si>
    <t>元始谷</t>
  </si>
  <si>
    <r>
      <t>山西方寸文化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播有限公司</t>
    </r>
  </si>
  <si>
    <r>
      <t>露酒;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葡萄酒; 梨酒;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</si>
  <si>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同源民益（山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）生物科技股份有限公司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</si>
  <si>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青稞酒;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白酒; 清酒; 食用酒精</t>
    </r>
  </si>
  <si>
    <t>夕滋养</t>
  </si>
  <si>
    <r>
      <t>杨</t>
    </r>
    <r>
      <rPr>
        <sz val="11"/>
        <color theme="1"/>
        <rFont val="ＭＳ Ｐゴシック"/>
        <family val="3"/>
        <charset val="128"/>
        <scheme val="minor"/>
      </rPr>
      <t>少春</t>
    </r>
  </si>
  <si>
    <r>
      <t>葡萄酒; 蜂蜜酒; 果酒（含酒精）; 伏特加酒; 白酒; 黄酒;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</si>
  <si>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善祖</t>
    </r>
    <r>
      <rPr>
        <sz val="11"/>
        <color theme="1"/>
        <rFont val="ＭＳ Ｐゴシック"/>
        <family val="3"/>
        <charset val="134"/>
        <scheme val="minor"/>
      </rPr>
      <t>遗</t>
    </r>
  </si>
  <si>
    <r>
      <t>姚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林</t>
    </r>
  </si>
  <si>
    <r>
      <t>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米酒; 高粱酒; 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</t>
    </r>
  </si>
  <si>
    <r>
      <t>中匠</t>
    </r>
    <r>
      <rPr>
        <sz val="11"/>
        <color theme="1"/>
        <rFont val="ＭＳ Ｐゴシック"/>
        <family val="3"/>
        <charset val="134"/>
        <scheme val="minor"/>
      </rPr>
      <t>贤</t>
    </r>
  </si>
  <si>
    <r>
      <t>李</t>
    </r>
    <r>
      <rPr>
        <sz val="11"/>
        <color theme="1"/>
        <rFont val="ＭＳ Ｐゴシック"/>
        <family val="3"/>
        <charset val="134"/>
        <scheme val="minor"/>
      </rPr>
      <t>丽</t>
    </r>
  </si>
  <si>
    <r>
      <t xml:space="preserve">威士忌; 青稞酒;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葡萄酒;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黄酒</t>
    </r>
  </si>
  <si>
    <r>
      <t>聚</t>
    </r>
    <r>
      <rPr>
        <sz val="11"/>
        <color theme="1"/>
        <rFont val="ＭＳ Ｐゴシック"/>
        <family val="3"/>
        <charset val="134"/>
        <scheme val="minor"/>
      </rPr>
      <t>贤</t>
    </r>
    <r>
      <rPr>
        <sz val="11"/>
        <color theme="1"/>
        <rFont val="ＭＳ Ｐゴシック"/>
        <family val="3"/>
        <charset val="128"/>
        <scheme val="minor"/>
      </rPr>
      <t>康</t>
    </r>
  </si>
  <si>
    <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白酒; 黄酒; 米酒; 烈酒; 青稞酒</t>
    </r>
  </si>
  <si>
    <t>渝光</t>
  </si>
  <si>
    <r>
      <t>党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敏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</si>
  <si>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开胃酒; 果酒（含酒精）;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米酒; 白酒; 威士忌</t>
    </r>
  </si>
  <si>
    <r>
      <t>市井小</t>
    </r>
    <r>
      <rPr>
        <sz val="11"/>
        <color theme="1"/>
        <rFont val="ＭＳ Ｐゴシック"/>
        <family val="3"/>
        <charset val="134"/>
        <scheme val="minor"/>
      </rPr>
      <t>铭</t>
    </r>
  </si>
  <si>
    <r>
      <t>铭书</t>
    </r>
    <r>
      <rPr>
        <sz val="11"/>
        <color theme="1"/>
        <rFont val="ＭＳ Ｐゴシック"/>
        <family val="3"/>
        <charset val="128"/>
        <scheme val="minor"/>
      </rPr>
      <t>文化信息科技（广州）有限公司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</si>
  <si>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青稞酒; 威士忌; 果酒（含酒精）; 伏特加酒; 食用酒精;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</t>
    </r>
  </si>
  <si>
    <r>
      <t>菁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菁</t>
    </r>
    <r>
      <rPr>
        <sz val="11"/>
        <color theme="1"/>
        <rFont val="ＭＳ Ｐゴシック"/>
        <family val="3"/>
        <charset val="134"/>
        <scheme val="minor"/>
      </rPr>
      <t>选</t>
    </r>
  </si>
  <si>
    <t>李小娟</t>
  </si>
  <si>
    <r>
      <t>梨酒;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米酒; 白酒; 葡萄酒;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开胃酒</t>
    </r>
  </si>
  <si>
    <r>
      <t>高富</t>
    </r>
    <r>
      <rPr>
        <sz val="11"/>
        <color theme="1"/>
        <rFont val="ＭＳ Ｐゴシック"/>
        <family val="3"/>
        <charset val="134"/>
        <scheme val="minor"/>
      </rPr>
      <t>顿</t>
    </r>
  </si>
  <si>
    <r>
      <t>斗</t>
    </r>
    <r>
      <rPr>
        <sz val="11"/>
        <color theme="1"/>
        <rFont val="ＭＳ Ｐゴシック"/>
        <family val="3"/>
        <charset val="134"/>
        <scheme val="minor"/>
      </rPr>
      <t>门</t>
    </r>
    <r>
      <rPr>
        <sz val="11"/>
        <color theme="1"/>
        <rFont val="ＭＳ Ｐゴシック"/>
        <family val="3"/>
        <charset val="128"/>
        <scheme val="minor"/>
      </rPr>
      <t>区井岸</t>
    </r>
    <r>
      <rPr>
        <sz val="11"/>
        <color theme="1"/>
        <rFont val="ＭＳ Ｐゴシック"/>
        <family val="3"/>
        <charset val="134"/>
        <scheme val="minor"/>
      </rPr>
      <t>镇</t>
    </r>
    <r>
      <rPr>
        <sz val="11"/>
        <color theme="1"/>
        <rFont val="ＭＳ Ｐゴシック"/>
        <family val="3"/>
        <charset val="128"/>
        <scheme val="minor"/>
      </rPr>
      <t>盛利商行</t>
    </r>
  </si>
  <si>
    <r>
      <t>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白酒; 开胃酒; 葡萄酒; 黄酒; 利口酒;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</si>
  <si>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柏</t>
    </r>
    <r>
      <rPr>
        <sz val="11"/>
        <color theme="1"/>
        <rFont val="ＭＳ Ｐゴシック"/>
        <family val="3"/>
        <charset val="134"/>
        <scheme val="minor"/>
      </rPr>
      <t>丽</t>
    </r>
    <r>
      <rPr>
        <sz val="11"/>
        <color theme="1"/>
        <rFont val="ＭＳ Ｐゴシック"/>
        <family val="3"/>
        <charset val="128"/>
        <scheme val="minor"/>
      </rPr>
      <t>迪</t>
    </r>
  </si>
  <si>
    <r>
      <t>开胃酒; 白酒;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葡萄酒; 利口酒;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</si>
  <si>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乐龙</t>
  </si>
  <si>
    <r>
      <t>果酒; 葡萄酒; 青稞酒; 白酒;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清酒; 黄酒;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</si>
  <si>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AA</t>
  </si>
  <si>
    <r>
      <t>爱</t>
    </r>
    <r>
      <rPr>
        <sz val="11"/>
        <color theme="1"/>
        <rFont val="ＭＳ Ｐゴシック"/>
        <family val="3"/>
        <charset val="128"/>
        <scheme val="minor"/>
      </rPr>
      <t>唯化</t>
    </r>
    <r>
      <rPr>
        <sz val="11"/>
        <color theme="1"/>
        <rFont val="ＭＳ Ｐゴシック"/>
        <family val="3"/>
        <charset val="134"/>
        <scheme val="minor"/>
      </rPr>
      <t>妆</t>
    </r>
    <r>
      <rPr>
        <sz val="11"/>
        <color theme="1"/>
        <rFont val="ＭＳ Ｐゴシック"/>
        <family val="3"/>
        <charset val="128"/>
        <scheme val="minor"/>
      </rPr>
      <t>品有限公司</t>
    </r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</si>
  <si>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葡萄酒;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青稞酒; 清酒（日本米酒）; 利口酒</t>
    </r>
  </si>
  <si>
    <t>聘号新青年</t>
  </si>
  <si>
    <r>
      <t>黄酒; 甘蔗制烈酒; 米酒; 葡萄酒;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</si>
  <si>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完美弧</t>
    </r>
    <r>
      <rPr>
        <sz val="11"/>
        <color theme="1"/>
        <rFont val="ＭＳ Ｐゴシック"/>
        <family val="3"/>
        <charset val="134"/>
        <scheme val="minor"/>
      </rPr>
      <t>线</t>
    </r>
  </si>
  <si>
    <t>刘敏</t>
  </si>
  <si>
    <r>
      <t xml:space="preserve">苹果酒; 威士忌; 开胃酒; 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白酒; 米酒;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</si>
  <si>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贤</t>
    </r>
    <r>
      <rPr>
        <sz val="11"/>
        <color theme="1"/>
        <rFont val="ＭＳ Ｐゴシック"/>
        <family val="3"/>
        <charset val="128"/>
        <scheme val="minor"/>
      </rPr>
      <t>禾台</t>
    </r>
  </si>
  <si>
    <r>
      <t xml:space="preserve">米酒; 黄酒;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葡萄酒; 烈酒; 青稞酒;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</si>
  <si>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民中作</t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</si>
  <si>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烈酒;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青稞酒; 米酒; 白酒; 黄酒; 威士忌</t>
    </r>
  </si>
  <si>
    <t>大庸妹</t>
  </si>
  <si>
    <r>
      <t>张</t>
    </r>
    <r>
      <rPr>
        <sz val="11"/>
        <color theme="1"/>
        <rFont val="ＭＳ Ｐゴシック"/>
        <family val="3"/>
        <charset val="128"/>
        <scheme val="minor"/>
      </rPr>
      <t>婷婷</t>
    </r>
  </si>
  <si>
    <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果酒; 葡萄酒; 白酒; 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青稞酒; 烈酒</t>
    </r>
  </si>
  <si>
    <r>
      <t>吜</t>
    </r>
    <r>
      <rPr>
        <sz val="11"/>
        <color theme="1"/>
        <rFont val="ＭＳ Ｐゴシック"/>
        <family val="3"/>
        <charset val="128"/>
        <scheme val="minor"/>
      </rPr>
      <t>畦</t>
    </r>
  </si>
  <si>
    <r>
      <t>杭州尚</t>
    </r>
    <r>
      <rPr>
        <sz val="11"/>
        <color theme="1"/>
        <rFont val="ＭＳ Ｐゴシック"/>
        <family val="3"/>
        <charset val="134"/>
        <scheme val="minor"/>
      </rPr>
      <t>农</t>
    </r>
    <r>
      <rPr>
        <sz val="11"/>
        <color theme="1"/>
        <rFont val="ＭＳ Ｐゴシック"/>
        <family val="3"/>
        <charset val="128"/>
        <scheme val="minor"/>
      </rPr>
      <t>食品有限公司</t>
    </r>
  </si>
  <si>
    <r>
      <t xml:space="preserve">威士忌;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梅酒; 葡萄酒; 米酒; 青梅酒; 黄酒;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</si>
  <si>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奕中</t>
    </r>
    <r>
      <rPr>
        <sz val="11"/>
        <color theme="1"/>
        <rFont val="ＭＳ Ｐゴシック"/>
        <family val="3"/>
        <charset val="134"/>
        <scheme val="minor"/>
      </rPr>
      <t>贤</t>
    </r>
  </si>
  <si>
    <r>
      <t xml:space="preserve">青稞酒; 威士忌; 葡萄酒; 烈酒; 米酒;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</si>
  <si>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威州川</t>
  </si>
  <si>
    <r>
      <t>张军</t>
    </r>
    <r>
      <rPr>
        <sz val="11"/>
        <color theme="1"/>
        <rFont val="ＭＳ Ｐゴシック"/>
        <family val="3"/>
        <charset val="128"/>
        <scheme val="minor"/>
      </rPr>
      <t>生</t>
    </r>
  </si>
  <si>
    <r>
      <t>汽酒; 烈酒;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清酒; 米酒; 黄酒; 果酒; 甜酒; 白酒</t>
    </r>
  </si>
  <si>
    <r>
      <t>伊王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王</t>
    </r>
  </si>
  <si>
    <t>文学</t>
  </si>
  <si>
    <r>
      <t>烈酒;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果酒（含酒精）; 葡萄酒; 米酒;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青稞酒; 含酒精的水果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高粱酒</t>
    </r>
  </si>
  <si>
    <r>
      <t>伊王</t>
    </r>
    <r>
      <rPr>
        <sz val="11"/>
        <color theme="1"/>
        <rFont val="ＭＳ Ｐゴシック"/>
        <family val="3"/>
        <charset val="134"/>
        <scheme val="minor"/>
      </rPr>
      <t>镀</t>
    </r>
    <r>
      <rPr>
        <sz val="11"/>
        <color theme="1"/>
        <rFont val="ＭＳ Ｐゴシック"/>
        <family val="3"/>
        <charset val="128"/>
        <scheme val="minor"/>
      </rPr>
      <t>金</t>
    </r>
    <r>
      <rPr>
        <sz val="11"/>
        <color theme="1"/>
        <rFont val="ＭＳ Ｐゴシック"/>
        <family val="3"/>
        <charset val="134"/>
        <scheme val="minor"/>
      </rPr>
      <t>时</t>
    </r>
    <r>
      <rPr>
        <sz val="11"/>
        <color theme="1"/>
        <rFont val="ＭＳ Ｐゴシック"/>
        <family val="3"/>
        <charset val="128"/>
        <scheme val="minor"/>
      </rPr>
      <t>光</t>
    </r>
  </si>
  <si>
    <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青稞酒; 含酒精的水果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高粱酒; 果酒（含酒精）; 米酒; 烈酒;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</t>
    </r>
  </si>
  <si>
    <t>葡老板</t>
  </si>
  <si>
    <r>
      <t>杭州聚舌尖食品</t>
    </r>
    <r>
      <rPr>
        <sz val="11"/>
        <color theme="1"/>
        <rFont val="ＭＳ Ｐゴシック"/>
        <family val="3"/>
        <charset val="134"/>
        <scheme val="minor"/>
      </rPr>
      <t>销</t>
    </r>
    <r>
      <rPr>
        <sz val="11"/>
        <color theme="1"/>
        <rFont val="ＭＳ Ｐゴシック"/>
        <family val="3"/>
        <charset val="128"/>
        <scheme val="minor"/>
      </rPr>
      <t>售有限公司</t>
    </r>
  </si>
  <si>
    <r>
      <t xml:space="preserve">黄酒; 白酒; 白葡萄酒; 清酒;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不起泡葡萄酒; 葡萄汽酒; 利口酒; 葡萄酒;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</si>
  <si>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竹小雅</t>
  </si>
  <si>
    <r>
      <t>张</t>
    </r>
    <r>
      <rPr>
        <sz val="11"/>
        <color theme="1"/>
        <rFont val="ＭＳ Ｐゴシック"/>
        <family val="3"/>
        <charset val="128"/>
        <scheme val="minor"/>
      </rPr>
      <t>建新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</si>
  <si>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黄酒; 白酒; 威士忌; 伏特加酒; 清酒（日本米酒）; 米酒;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</si>
  <si>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巨</t>
    </r>
    <r>
      <rPr>
        <sz val="11"/>
        <color theme="1"/>
        <rFont val="ＭＳ Ｐゴシック"/>
        <family val="3"/>
        <charset val="134"/>
        <scheme val="minor"/>
      </rPr>
      <t>锋绘丽</t>
    </r>
  </si>
  <si>
    <r>
      <t>广西巨</t>
    </r>
    <r>
      <rPr>
        <sz val="11"/>
        <color theme="1"/>
        <rFont val="ＭＳ Ｐゴシック"/>
        <family val="3"/>
        <charset val="134"/>
        <scheme val="minor"/>
      </rPr>
      <t>锋铝业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</si>
  <si>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汽酒; 食用酒精; 白酒; 果酒（含酒精）; 葡萄酒; 含酒精的气泡水;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</si>
  <si>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伊王</t>
    </r>
    <r>
      <rPr>
        <sz val="11"/>
        <color theme="1"/>
        <rFont val="ＭＳ Ｐゴシック"/>
        <family val="3"/>
        <charset val="134"/>
        <scheme val="minor"/>
      </rPr>
      <t>蓝</t>
    </r>
    <r>
      <rPr>
        <sz val="11"/>
        <color theme="1"/>
        <rFont val="ＭＳ Ｐゴシック"/>
        <family val="3"/>
        <charset val="128"/>
        <scheme val="minor"/>
      </rPr>
      <t>王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</si>
  <si>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果酒（含酒精）; 白酒; 高粱酒; 含酒精的水果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青稞酒</t>
    </r>
  </si>
  <si>
    <t>KADE</t>
  </si>
  <si>
    <r>
      <t xml:space="preserve">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开胃酒; 果酒; 苹果酒; 葡萄酒; 威士忌;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</si>
  <si>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抵牛</t>
  </si>
  <si>
    <r>
      <t>闫</t>
    </r>
    <r>
      <rPr>
        <sz val="11"/>
        <color theme="1"/>
        <rFont val="ＭＳ Ｐゴシック"/>
        <family val="3"/>
        <charset val="128"/>
        <scheme val="minor"/>
      </rPr>
      <t>国言</t>
    </r>
  </si>
  <si>
    <r>
      <t xml:space="preserve">米酒;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高粱酒;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果酒; 白酒; 青稞酒; 食用酒精</t>
    </r>
  </si>
  <si>
    <r>
      <t>龙骑</t>
    </r>
    <r>
      <rPr>
        <sz val="11"/>
        <color theme="1"/>
        <rFont val="ＭＳ Ｐゴシック"/>
        <family val="3"/>
        <charset val="128"/>
        <scheme val="minor"/>
      </rPr>
      <t>将</t>
    </r>
  </si>
  <si>
    <r>
      <t>石</t>
    </r>
    <r>
      <rPr>
        <sz val="11"/>
        <color theme="1"/>
        <rFont val="ＭＳ Ｐゴシック"/>
        <family val="3"/>
        <charset val="134"/>
        <scheme val="minor"/>
      </rPr>
      <t>狮</t>
    </r>
    <r>
      <rPr>
        <sz val="11"/>
        <color theme="1"/>
        <rFont val="ＭＳ Ｐゴシック"/>
        <family val="3"/>
        <charset val="128"/>
        <scheme val="minor"/>
      </rPr>
      <t>市国</t>
    </r>
    <r>
      <rPr>
        <sz val="11"/>
        <color theme="1"/>
        <rFont val="ＭＳ Ｐゴシック"/>
        <family val="3"/>
        <charset val="134"/>
        <scheme val="minor"/>
      </rPr>
      <t>丽蕴</t>
    </r>
    <r>
      <rPr>
        <sz val="11"/>
        <color theme="1"/>
        <rFont val="ＭＳ Ｐゴシック"/>
        <family val="3"/>
        <charset val="128"/>
        <scheme val="minor"/>
      </rPr>
      <t>网</t>
    </r>
    <r>
      <rPr>
        <sz val="11"/>
        <color theme="1"/>
        <rFont val="ＭＳ Ｐゴシック"/>
        <family val="3"/>
        <charset val="134"/>
        <scheme val="minor"/>
      </rPr>
      <t>络</t>
    </r>
    <r>
      <rPr>
        <sz val="11"/>
        <color theme="1"/>
        <rFont val="ＭＳ Ｐゴシック"/>
        <family val="3"/>
        <charset val="128"/>
        <scheme val="minor"/>
      </rPr>
      <t>百</t>
    </r>
    <r>
      <rPr>
        <sz val="11"/>
        <color theme="1"/>
        <rFont val="ＭＳ Ｐゴシック"/>
        <family val="3"/>
        <charset val="134"/>
        <scheme val="minor"/>
      </rPr>
      <t>货</t>
    </r>
    <r>
      <rPr>
        <sz val="11"/>
        <color theme="1"/>
        <rFont val="ＭＳ Ｐゴシック"/>
        <family val="3"/>
        <charset val="128"/>
        <scheme val="minor"/>
      </rPr>
      <t>商行</t>
    </r>
  </si>
  <si>
    <r>
      <t xml:space="preserve">果酒; 黄酒; 葡萄酒; 白酒; 青稞酒;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威士忌; 清酒</t>
    </r>
  </si>
  <si>
    <t>彭立启</t>
  </si>
  <si>
    <r>
      <t>杞</t>
    </r>
    <r>
      <rPr>
        <sz val="11"/>
        <color theme="1"/>
        <rFont val="ＭＳ Ｐゴシック"/>
        <family val="3"/>
        <charset val="134"/>
        <scheme val="minor"/>
      </rPr>
      <t>县亚</t>
    </r>
    <r>
      <rPr>
        <sz val="11"/>
        <color theme="1"/>
        <rFont val="ＭＳ Ｐゴシック"/>
        <family val="3"/>
        <charset val="128"/>
        <scheme val="minor"/>
      </rPr>
      <t>信世园商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</si>
  <si>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白干酒（中国白酒）;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白酒; 果酒（含酒精）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</si>
  <si>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白酒; 高粱酒; 杜松子酒; 伏特加酒;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米酒; 黄酒</t>
    </r>
  </si>
  <si>
    <r>
      <t>稻</t>
    </r>
    <r>
      <rPr>
        <sz val="11"/>
        <color theme="1"/>
        <rFont val="ＭＳ Ｐゴシック"/>
        <family val="3"/>
        <charset val="134"/>
        <scheme val="minor"/>
      </rPr>
      <t>亿</t>
    </r>
    <r>
      <rPr>
        <sz val="11"/>
        <color theme="1"/>
        <rFont val="ＭＳ Ｐゴシック"/>
        <family val="3"/>
        <charset val="128"/>
        <scheme val="minor"/>
      </rPr>
      <t>粮</t>
    </r>
  </si>
  <si>
    <r>
      <t>湖北六种粮酒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</si>
  <si>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食用酒精; 果酒（含酒精）;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</t>
    </r>
  </si>
  <si>
    <r>
      <t>星</t>
    </r>
    <r>
      <rPr>
        <sz val="11"/>
        <color theme="1"/>
        <rFont val="ＭＳ Ｐゴシック"/>
        <family val="3"/>
        <charset val="134"/>
        <scheme val="minor"/>
      </rPr>
      <t>罗</t>
    </r>
    <r>
      <rPr>
        <sz val="11"/>
        <color theme="1"/>
        <rFont val="ＭＳ Ｐゴシック"/>
        <family val="3"/>
        <charset val="128"/>
        <scheme val="minor"/>
      </rPr>
      <t>界</t>
    </r>
  </si>
  <si>
    <r>
      <t>山西</t>
    </r>
    <r>
      <rPr>
        <sz val="11"/>
        <color theme="1"/>
        <rFont val="ＭＳ Ｐゴシック"/>
        <family val="3"/>
        <charset val="134"/>
        <scheme val="minor"/>
      </rPr>
      <t>财环腾</t>
    </r>
    <r>
      <rPr>
        <sz val="11"/>
        <color theme="1"/>
        <rFont val="ＭＳ Ｐゴシック"/>
        <family val="3"/>
        <charset val="128"/>
        <scheme val="minor"/>
      </rPr>
      <t>航</t>
    </r>
    <r>
      <rPr>
        <sz val="11"/>
        <color theme="1"/>
        <rFont val="ＭＳ Ｐゴシック"/>
        <family val="3"/>
        <charset val="134"/>
        <scheme val="minor"/>
      </rPr>
      <t>环</t>
    </r>
    <r>
      <rPr>
        <sz val="11"/>
        <color theme="1"/>
        <rFont val="ＭＳ Ｐゴシック"/>
        <family val="3"/>
        <charset val="128"/>
        <scheme val="minor"/>
      </rPr>
      <t>保科技有限公司</t>
    </r>
  </si>
  <si>
    <r>
      <t xml:space="preserve">露酒; 葡萄酒; 米酒; 梨酒;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</t>
    </r>
  </si>
  <si>
    <r>
      <t>最</t>
    </r>
    <r>
      <rPr>
        <sz val="11"/>
        <color theme="1"/>
        <rFont val="ＭＳ Ｐゴシック"/>
        <family val="3"/>
        <charset val="134"/>
        <scheme val="minor"/>
      </rPr>
      <t>颐</t>
    </r>
  </si>
  <si>
    <r>
      <t>高常</t>
    </r>
    <r>
      <rPr>
        <sz val="11"/>
        <color theme="1"/>
        <rFont val="ＭＳ Ｐゴシック"/>
        <family val="3"/>
        <charset val="134"/>
        <scheme val="minor"/>
      </rPr>
      <t>伟</t>
    </r>
  </si>
  <si>
    <r>
      <t>白酒; 果酒（含酒精）; 黄酒; 葡萄酒; 清酒; 利口酒;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</t>
    </r>
  </si>
  <si>
    <r>
      <t>鲲</t>
    </r>
    <r>
      <rPr>
        <sz val="11"/>
        <color theme="1"/>
        <rFont val="ＭＳ Ｐゴシック"/>
        <family val="3"/>
        <charset val="128"/>
        <scheme val="minor"/>
      </rPr>
      <t>臻</t>
    </r>
  </si>
  <si>
    <r>
      <t>泸</t>
    </r>
    <r>
      <rPr>
        <sz val="11"/>
        <color theme="1"/>
        <rFont val="ＭＳ Ｐゴシック"/>
        <family val="3"/>
        <charset val="128"/>
        <scheme val="minor"/>
      </rPr>
      <t>州君国酒庄有限公司</t>
    </r>
  </si>
  <si>
    <r>
      <t>葡萄酒; 蒸煮提取物（利口酒和烈酒）; 高粱酒; 米酒; 白酒; 果酒;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酒; 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</si>
  <si>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洪世老</t>
  </si>
  <si>
    <t>洪静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</si>
  <si>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青稞酒; 葡萄酒;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黄酒; 食用酒精; 果酒（含酒精）; 蜂蜜酒; 白酒</t>
    </r>
  </si>
  <si>
    <t>禄雪</t>
  </si>
  <si>
    <r>
      <t>云南</t>
    </r>
    <r>
      <rPr>
        <sz val="11"/>
        <color theme="1"/>
        <rFont val="ＭＳ Ｐゴシック"/>
        <family val="3"/>
        <charset val="134"/>
        <scheme val="minor"/>
      </rPr>
      <t>绿</t>
    </r>
    <r>
      <rPr>
        <sz val="11"/>
        <color theme="1"/>
        <rFont val="ＭＳ Ｐゴシック"/>
        <family val="3"/>
        <charset val="128"/>
        <scheme val="minor"/>
      </rPr>
      <t>佳新型材料有限公司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</si>
  <si>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威士忌; 米酒;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果酒（含酒精）</t>
    </r>
  </si>
  <si>
    <t>洪世佳</t>
  </si>
  <si>
    <r>
      <t>白酒; 食用酒精; 果酒（含酒精）; 蜂蜜酒; 葡萄酒; 黄酒;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青稞酒</t>
    </r>
  </si>
  <si>
    <r>
      <t>许</t>
    </r>
    <r>
      <rPr>
        <sz val="11"/>
        <color theme="1"/>
        <rFont val="ＭＳ Ｐゴシック"/>
        <family val="3"/>
        <charset val="128"/>
        <scheme val="minor"/>
      </rPr>
      <t>耀</t>
    </r>
    <r>
      <rPr>
        <sz val="11"/>
        <color theme="1"/>
        <rFont val="ＭＳ Ｐゴシック"/>
        <family val="3"/>
        <charset val="134"/>
        <scheme val="minor"/>
      </rPr>
      <t>辉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</si>
  <si>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汽酒; 白酒; 米酒; 果酒（含酒精）; 清酒（日本米酒）; 葡萄酒</t>
    </r>
  </si>
  <si>
    <r>
      <t>透明人</t>
    </r>
    <r>
      <rPr>
        <sz val="11"/>
        <color theme="1"/>
        <rFont val="ＭＳ Ｐゴシック"/>
        <family val="3"/>
        <charset val="134"/>
        <scheme val="minor"/>
      </rPr>
      <t>间</t>
    </r>
  </si>
  <si>
    <r>
      <t>郑</t>
    </r>
    <r>
      <rPr>
        <sz val="11"/>
        <color theme="1"/>
        <rFont val="ＭＳ Ｐゴシック"/>
        <family val="3"/>
        <charset val="128"/>
        <scheme val="minor"/>
      </rPr>
      <t>少</t>
    </r>
    <r>
      <rPr>
        <sz val="11"/>
        <color theme="1"/>
        <rFont val="ＭＳ Ｐゴシック"/>
        <family val="3"/>
        <charset val="134"/>
        <scheme val="minor"/>
      </rPr>
      <t>华</t>
    </r>
  </si>
  <si>
    <r>
      <t>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黄酒; 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白酒; 果酒（含酒精）</t>
    </r>
  </si>
  <si>
    <t>封水</t>
  </si>
  <si>
    <t>代小虎</t>
  </si>
  <si>
    <r>
      <t>黄酒; 餐后酒（利口酒和烈酒）;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果酒（含酒精）;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利口酒;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</t>
    </r>
  </si>
  <si>
    <t>灵豹</t>
  </si>
  <si>
    <r>
      <t>赵</t>
    </r>
    <r>
      <rPr>
        <sz val="11"/>
        <color theme="1"/>
        <rFont val="ＭＳ Ｐゴシック"/>
        <family val="3"/>
        <charset val="129"/>
        <scheme val="minor"/>
      </rPr>
      <t>优</t>
    </r>
    <r>
      <rPr>
        <sz val="11"/>
        <color theme="1"/>
        <rFont val="ＭＳ Ｐゴシック"/>
        <family val="3"/>
        <charset val="128"/>
        <scheme val="minor"/>
      </rPr>
      <t>娥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</si>
  <si>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葡萄酒; 白酒; 米酒; 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清酒; 果酒（含酒精）; 黄酒</t>
    </r>
  </si>
  <si>
    <t>昀道</t>
  </si>
  <si>
    <r>
      <t>邓晓</t>
    </r>
    <r>
      <rPr>
        <sz val="11"/>
        <color theme="1"/>
        <rFont val="ＭＳ Ｐゴシック"/>
        <family val="3"/>
        <charset val="128"/>
        <scheme val="minor"/>
      </rPr>
      <t>明</t>
    </r>
  </si>
  <si>
    <r>
      <t>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黄酒; 葡萄酒; 白干酒（中国白酒）;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果酒;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白酒; 米酒</t>
    </r>
  </si>
  <si>
    <r>
      <t>暴</t>
    </r>
    <r>
      <rPr>
        <sz val="11"/>
        <color theme="1"/>
        <rFont val="ＭＳ Ｐゴシック"/>
        <family val="3"/>
        <charset val="134"/>
        <scheme val="minor"/>
      </rPr>
      <t>风</t>
    </r>
    <r>
      <rPr>
        <sz val="11"/>
        <color theme="1"/>
        <rFont val="ＭＳ Ｐゴシック"/>
        <family val="3"/>
        <charset val="128"/>
        <scheme val="minor"/>
      </rPr>
      <t>之眼</t>
    </r>
  </si>
  <si>
    <r>
      <t>汽酒;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米酒; 清酒; 葡萄酒;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</t>
    </r>
  </si>
  <si>
    <t>都本基</t>
  </si>
  <si>
    <r>
      <t>北京</t>
    </r>
    <r>
      <rPr>
        <sz val="11"/>
        <color theme="1"/>
        <rFont val="ＭＳ Ｐゴシック"/>
        <family val="3"/>
        <charset val="134"/>
        <scheme val="minor"/>
      </rPr>
      <t>张</t>
    </r>
    <r>
      <rPr>
        <sz val="11"/>
        <color theme="1"/>
        <rFont val="ＭＳ Ｐゴシック"/>
        <family val="3"/>
        <charset val="128"/>
        <scheme val="minor"/>
      </rPr>
      <t>春</t>
    </r>
    <r>
      <rPr>
        <sz val="11"/>
        <color theme="1"/>
        <rFont val="ＭＳ Ｐゴシック"/>
        <family val="3"/>
        <charset val="134"/>
        <scheme val="minor"/>
      </rPr>
      <t>辉</t>
    </r>
    <r>
      <rPr>
        <sz val="11"/>
        <color theme="1"/>
        <rFont val="ＭＳ Ｐゴシック"/>
        <family val="3"/>
        <charset val="128"/>
        <scheme val="minor"/>
      </rPr>
      <t>中医健康咨</t>
    </r>
    <r>
      <rPr>
        <sz val="11"/>
        <color theme="1"/>
        <rFont val="ＭＳ Ｐゴシック"/>
        <family val="3"/>
        <charset val="134"/>
        <scheme val="minor"/>
      </rPr>
      <t>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</si>
  <si>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梨酒; 白酒; 米酒;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汽酒; 黄酒; 葡萄酒; 伏特加酒;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</t>
    </r>
  </si>
  <si>
    <r>
      <t>奕家</t>
    </r>
    <r>
      <rPr>
        <sz val="11"/>
        <color theme="1"/>
        <rFont val="ＭＳ Ｐゴシック"/>
        <family val="3"/>
        <charset val="134"/>
        <scheme val="minor"/>
      </rPr>
      <t>乐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</si>
  <si>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食用酒精;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果酒（含酒精）; 白酒</t>
    </r>
  </si>
  <si>
    <r>
      <t>元丹</t>
    </r>
    <r>
      <rPr>
        <sz val="11"/>
        <color theme="1"/>
        <rFont val="ＭＳ Ｐゴシック"/>
        <family val="3"/>
        <charset val="134"/>
        <scheme val="minor"/>
      </rPr>
      <t>岁</t>
    </r>
    <r>
      <rPr>
        <sz val="11"/>
        <color theme="1"/>
        <rFont val="ＭＳ Ｐゴシック"/>
        <family val="3"/>
        <charset val="128"/>
        <scheme val="minor"/>
      </rPr>
      <t>芝</t>
    </r>
    <r>
      <rPr>
        <sz val="11"/>
        <color theme="1"/>
        <rFont val="ＭＳ Ｐゴシック"/>
        <family val="3"/>
        <charset val="134"/>
        <scheme val="minor"/>
      </rPr>
      <t>龙</t>
    </r>
  </si>
  <si>
    <r>
      <t>深圳市生命</t>
    </r>
    <r>
      <rPr>
        <sz val="11"/>
        <color theme="1"/>
        <rFont val="ＭＳ Ｐゴシック"/>
        <family val="3"/>
        <charset val="134"/>
        <scheme val="minor"/>
      </rPr>
      <t>时</t>
    </r>
    <r>
      <rPr>
        <sz val="11"/>
        <color theme="1"/>
        <rFont val="ＭＳ Ｐゴシック"/>
        <family val="3"/>
        <charset val="128"/>
        <scheme val="minor"/>
      </rPr>
      <t>空健康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</si>
  <si>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清酒; 烈酒; 开胃酒; 汽酒; 果酒（含酒精）; 葡萄酒; 青稞酒</t>
    </r>
  </si>
  <si>
    <r>
      <t>火</t>
    </r>
    <r>
      <rPr>
        <sz val="11"/>
        <color theme="1"/>
        <rFont val="ＭＳ Ｐゴシック"/>
        <family val="3"/>
        <charset val="134"/>
        <scheme val="minor"/>
      </rPr>
      <t>龙鲤</t>
    </r>
  </si>
  <si>
    <t>朴男淑</t>
  </si>
  <si>
    <r>
      <t xml:space="preserve">果酒（含酒精）; 汽酒; 黄酒; 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葡萄酒</t>
    </r>
  </si>
  <si>
    <r>
      <t>颗</t>
    </r>
    <r>
      <rPr>
        <sz val="11"/>
        <color theme="1"/>
        <rFont val="ＭＳ Ｐゴシック"/>
        <family val="3"/>
        <charset val="128"/>
        <scheme val="minor"/>
      </rPr>
      <t>子</t>
    </r>
    <r>
      <rPr>
        <sz val="11"/>
        <color theme="1"/>
        <rFont val="ＭＳ Ｐゴシック"/>
        <family val="3"/>
        <charset val="134"/>
        <scheme val="minor"/>
      </rPr>
      <t>酿</t>
    </r>
  </si>
  <si>
    <t>山西智域合科技有限公司</t>
  </si>
  <si>
    <r>
      <t>苦味酒; 梨酒; 米酒; 青稞酒; 白酒;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果酒（含酒精）</t>
    </r>
  </si>
  <si>
    <t>散花祖</t>
  </si>
  <si>
    <r>
      <t>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高粱酒;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白酒; 白干酒（中国白酒）;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</si>
  <si>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中</t>
    </r>
    <r>
      <rPr>
        <sz val="11"/>
        <color theme="1"/>
        <rFont val="ＭＳ Ｐゴシック"/>
        <family val="3"/>
        <charset val="134"/>
        <scheme val="minor"/>
      </rPr>
      <t>鉴</t>
    </r>
    <r>
      <rPr>
        <sz val="11"/>
        <color theme="1"/>
        <rFont val="ＭＳ Ｐゴシック"/>
        <family val="3"/>
        <charset val="128"/>
        <scheme val="minor"/>
      </rPr>
      <t>循之</t>
    </r>
  </si>
  <si>
    <r>
      <t>白酒;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露酒;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苹果酒; 餐后酒（利口酒和烈酒）;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</si>
  <si>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t>孝子惠仁</t>
  </si>
  <si>
    <t>北京神州孝子文化科技有限公司</t>
  </si>
  <si>
    <r>
      <t xml:space="preserve">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开胃酒; 葡萄酒;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清酒（日本米酒）; 米酒; 黄酒; 青稞酒</t>
    </r>
  </si>
  <si>
    <r>
      <t>西塞</t>
    </r>
    <r>
      <rPr>
        <sz val="11"/>
        <color theme="1"/>
        <rFont val="ＭＳ Ｐゴシック"/>
        <family val="3"/>
        <charset val="134"/>
        <scheme val="minor"/>
      </rPr>
      <t>浔</t>
    </r>
  </si>
  <si>
    <r>
      <t>黄石市文化旅游投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</si>
  <si>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果酒（含酒精）; 米酒;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</si>
  <si>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西塞悦</t>
  </si>
  <si>
    <r>
      <t>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米酒; 果酒（含酒精）</t>
    </r>
  </si>
  <si>
    <t>泉面</t>
  </si>
  <si>
    <r>
      <t>陆</t>
    </r>
    <r>
      <rPr>
        <sz val="11"/>
        <color theme="1"/>
        <rFont val="ＭＳ Ｐゴシック"/>
        <family val="3"/>
        <charset val="128"/>
        <scheme val="minor"/>
      </rPr>
      <t>益仙</t>
    </r>
  </si>
  <si>
    <r>
      <t>葡萄酒; 果酒; 白酒; 黄酒; 米酒; 烈酒;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</si>
  <si>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姜俏俏</t>
  </si>
  <si>
    <r>
      <t>广</t>
    </r>
    <r>
      <rPr>
        <sz val="11"/>
        <color theme="1"/>
        <rFont val="ＭＳ Ｐゴシック"/>
        <family val="3"/>
        <charset val="134"/>
        <scheme val="minor"/>
      </rPr>
      <t>东骆</t>
    </r>
    <r>
      <rPr>
        <sz val="11"/>
        <color theme="1"/>
        <rFont val="ＭＳ Ｐゴシック"/>
        <family val="3"/>
        <charset val="128"/>
        <scheme val="minor"/>
      </rPr>
      <t>氏中医学研究院</t>
    </r>
  </si>
  <si>
    <r>
      <t>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威士忌;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白酒; 露酒; 葡萄酒; 米酒</t>
    </r>
  </si>
  <si>
    <t>敦高里</t>
  </si>
  <si>
    <r>
      <t>河南萱泉酒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</si>
  <si>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威士忌; 白酒; 清酒（日本米酒）; 黄酒; 苹果酒; 米酒; 伏特加酒; 葡萄酒</t>
    </r>
  </si>
  <si>
    <t>佰禹</t>
  </si>
  <si>
    <t>北京养禹健康科技有限公司</t>
  </si>
  <si>
    <r>
      <t xml:space="preserve">白葡萄酒;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白酒;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白干酒（中国白酒）;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米酒（泡盛酒）;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</si>
  <si>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拉禹</t>
  </si>
  <si>
    <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白葡萄酒;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白干酒（中国白酒）; 白酒; 米酒;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米酒（泡盛酒）</t>
    </r>
  </si>
  <si>
    <r>
      <t>帝</t>
    </r>
    <r>
      <rPr>
        <sz val="11"/>
        <color theme="1"/>
        <rFont val="ＭＳ Ｐゴシック"/>
        <family val="3"/>
        <charset val="134"/>
        <scheme val="minor"/>
      </rPr>
      <t>寻</t>
    </r>
    <r>
      <rPr>
        <sz val="11"/>
        <color theme="1"/>
        <rFont val="ＭＳ Ｐゴシック"/>
        <family val="3"/>
        <charset val="128"/>
        <scheme val="minor"/>
      </rPr>
      <t>玖</t>
    </r>
  </si>
  <si>
    <t>吴金通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</si>
  <si>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佐餐酒; 米酒;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果酒（含酒精）</t>
    </r>
  </si>
  <si>
    <t>南洲上古</t>
  </si>
  <si>
    <r>
      <t>湖南南洲酒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</si>
  <si>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葡萄酒;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白酒; 青稞酒;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</t>
    </r>
  </si>
  <si>
    <r>
      <t>春</t>
    </r>
    <r>
      <rPr>
        <sz val="11"/>
        <color theme="1"/>
        <rFont val="ＭＳ Ｐゴシック"/>
        <family val="3"/>
        <charset val="134"/>
        <scheme val="minor"/>
      </rPr>
      <t>渐</t>
    </r>
  </si>
  <si>
    <r>
      <t>山</t>
    </r>
    <r>
      <rPr>
        <sz val="11"/>
        <color theme="1"/>
        <rFont val="ＭＳ Ｐゴシック"/>
        <family val="3"/>
        <charset val="134"/>
        <scheme val="minor"/>
      </rPr>
      <t>东罗</t>
    </r>
    <r>
      <rPr>
        <sz val="11"/>
        <color theme="1"/>
        <rFont val="ＭＳ Ｐゴシック"/>
        <family val="3"/>
        <charset val="128"/>
        <scheme val="minor"/>
      </rPr>
      <t>伊福勒食品有限公司</t>
    </r>
  </si>
  <si>
    <r>
      <t>果酒;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朗姆酒; 利口酒; 葡萄酒; 威士忌; 伏特加酒; 白酒; 露酒</t>
    </r>
  </si>
  <si>
    <t>超博士</t>
  </si>
  <si>
    <r>
      <t>山西超博</t>
    </r>
    <r>
      <rPr>
        <sz val="11"/>
        <color theme="1"/>
        <rFont val="ＭＳ Ｐゴシック"/>
        <family val="3"/>
        <charset val="134"/>
        <scheme val="minor"/>
      </rPr>
      <t>农</t>
    </r>
    <r>
      <rPr>
        <sz val="11"/>
        <color theme="1"/>
        <rFont val="ＭＳ Ｐゴシック"/>
        <family val="3"/>
        <charset val="128"/>
        <scheme val="minor"/>
      </rPr>
      <t>牧科技有限公司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</si>
  <si>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甘蔗制烈酒; 葡萄酒; 果酒（含酒精）</t>
    </r>
  </si>
  <si>
    <r>
      <t>锐</t>
    </r>
    <r>
      <rPr>
        <sz val="11"/>
        <color theme="1"/>
        <rFont val="ＭＳ Ｐゴシック"/>
        <family val="3"/>
        <charset val="128"/>
        <scheme val="minor"/>
      </rPr>
      <t>夜</t>
    </r>
  </si>
  <si>
    <r>
      <t>张</t>
    </r>
    <r>
      <rPr>
        <sz val="11"/>
        <color theme="1"/>
        <rFont val="ＭＳ Ｐゴシック"/>
        <family val="3"/>
        <charset val="128"/>
        <scheme val="minor"/>
      </rPr>
      <t>治云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</si>
  <si>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清酒（日本米酒）; 葡萄酒; 黄酒;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</t>
    </r>
  </si>
  <si>
    <t>八柳潭</t>
  </si>
  <si>
    <r>
      <t>陈</t>
    </r>
    <r>
      <rPr>
        <sz val="11"/>
        <color theme="1"/>
        <rFont val="ＭＳ Ｐゴシック"/>
        <family val="3"/>
        <charset val="128"/>
        <scheme val="minor"/>
      </rPr>
      <t>世超</t>
    </r>
  </si>
  <si>
    <r>
      <t>白干酒（中国白酒）;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的白酒; 果酒; 餐后酒（利口酒和烈酒）; 烈酒; 烈性干酒;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高粱酒;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白酒</t>
    </r>
  </si>
  <si>
    <t>津雷</t>
  </si>
  <si>
    <t>肖朝佑</t>
  </si>
  <si>
    <r>
      <t xml:space="preserve">白酒; 果酒（含酒精）; 食用酒精;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开胃酒; 葡萄酒; 蜂蜜酒; 米酒;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</si>
  <si>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帝乙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坊</t>
    </r>
  </si>
  <si>
    <r>
      <t>张</t>
    </r>
    <r>
      <rPr>
        <sz val="11"/>
        <color theme="1"/>
        <rFont val="ＭＳ Ｐゴシック"/>
        <family val="3"/>
        <charset val="128"/>
        <scheme val="minor"/>
      </rPr>
      <t>国</t>
    </r>
    <r>
      <rPr>
        <sz val="11"/>
        <color theme="1"/>
        <rFont val="ＭＳ Ｐゴシック"/>
        <family val="3"/>
        <charset val="134"/>
        <scheme val="minor"/>
      </rPr>
      <t>丽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</si>
  <si>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蜂蜜酒; 餐后酒（利口酒和烈酒）; 白酒;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</si>
  <si>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t>蜀大仙 酒</t>
  </si>
  <si>
    <r>
      <t>四川蜀大仙酒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</si>
  <si>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清酒;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黄酒; 高粱酒; 果酒（含酒精）; 米酒; 烈酒;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</si>
  <si>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显</t>
    </r>
    <r>
      <rPr>
        <sz val="11"/>
        <color theme="1"/>
        <rFont val="ＭＳ Ｐゴシック"/>
        <family val="3"/>
        <charset val="128"/>
        <scheme val="minor"/>
      </rPr>
      <t>豹</t>
    </r>
  </si>
  <si>
    <r>
      <t>漯河睿克</t>
    </r>
    <r>
      <rPr>
        <sz val="11"/>
        <color theme="1"/>
        <rFont val="ＭＳ Ｐゴシック"/>
        <family val="3"/>
        <charset val="134"/>
        <scheme val="minor"/>
      </rPr>
      <t>户</t>
    </r>
    <r>
      <rPr>
        <sz val="11"/>
        <color theme="1"/>
        <rFont val="ＭＳ Ｐゴシック"/>
        <family val="3"/>
        <charset val="128"/>
        <scheme val="minor"/>
      </rPr>
      <t>外用品有限公司</t>
    </r>
  </si>
  <si>
    <r>
      <t xml:space="preserve">露酒;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白干酒（中国白酒）; 米酒; 佐餐酒; 白酒; 伏特加酒; 高粱酒;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</si>
  <si>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井中福</t>
  </si>
  <si>
    <r>
      <t>鹿邑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新品大曲酒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</si>
  <si>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开胃酒;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白酒; 葡萄酒; 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汽酒</t>
    </r>
  </si>
  <si>
    <r>
      <t>花</t>
    </r>
    <r>
      <rPr>
        <sz val="11"/>
        <color theme="1"/>
        <rFont val="ＭＳ Ｐゴシック"/>
        <family val="3"/>
        <charset val="134"/>
        <scheme val="minor"/>
      </rPr>
      <t>诺颜</t>
    </r>
  </si>
  <si>
    <r>
      <t>深圳市花</t>
    </r>
    <r>
      <rPr>
        <sz val="11"/>
        <color theme="1"/>
        <rFont val="ＭＳ Ｐゴシック"/>
        <family val="3"/>
        <charset val="134"/>
        <scheme val="minor"/>
      </rPr>
      <t>诺颜</t>
    </r>
    <r>
      <rPr>
        <sz val="11"/>
        <color theme="1"/>
        <rFont val="ＭＳ Ｐゴシック"/>
        <family val="3"/>
        <charset val="128"/>
        <scheme val="minor"/>
      </rPr>
      <t>生物科技有限公司</t>
    </r>
  </si>
  <si>
    <r>
      <t>开胃酒; 蜂蜜酒; 葡萄酒; 果酒（含酒精）; 薄荷酒;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梨酒;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米酒</t>
    </r>
  </si>
  <si>
    <t>醉美酒州河</t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</si>
  <si>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葡萄酒; 白酒; 清酒（日本米酒）; 高粱酒;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烈酒; 白干酒（中国白酒）;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</t>
    </r>
  </si>
  <si>
    <r>
      <t>乐</t>
    </r>
    <r>
      <rPr>
        <sz val="11"/>
        <color theme="1"/>
        <rFont val="ＭＳ Ｐゴシック"/>
        <family val="3"/>
        <charset val="128"/>
        <scheme val="minor"/>
      </rPr>
      <t>融中和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</si>
  <si>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葡萄酒; 黄酒;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露酒; 果酒（含酒精）; 白酒</t>
    </r>
  </si>
  <si>
    <r>
      <t>广</t>
    </r>
    <r>
      <rPr>
        <sz val="11"/>
        <color theme="1"/>
        <rFont val="ＭＳ Ｐゴシック"/>
        <family val="3"/>
        <charset val="134"/>
        <scheme val="minor"/>
      </rPr>
      <t>顺</t>
    </r>
    <r>
      <rPr>
        <sz val="11"/>
        <color theme="1"/>
        <rFont val="ＭＳ Ｐゴシック"/>
        <family val="3"/>
        <charset val="128"/>
        <scheme val="minor"/>
      </rPr>
      <t>源</t>
    </r>
  </si>
  <si>
    <r>
      <t>山西中孚酒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</si>
  <si>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白干酒（中国白酒）; 食用酒精; 白酒; 烈酒;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露酒; 高粱酒;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的白酒;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</t>
    </r>
  </si>
  <si>
    <r>
      <t>观</t>
    </r>
    <r>
      <rPr>
        <sz val="11"/>
        <color theme="1"/>
        <rFont val="ＭＳ Ｐゴシック"/>
        <family val="3"/>
        <charset val="128"/>
        <scheme val="minor"/>
      </rPr>
      <t>年猴</t>
    </r>
  </si>
  <si>
    <r>
      <t>梅州市柏棠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</si>
  <si>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白酒;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利口酒; 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果酒; 烈酒</t>
    </r>
  </si>
  <si>
    <t>中原巨匠</t>
  </si>
  <si>
    <r>
      <t>许</t>
    </r>
    <r>
      <rPr>
        <sz val="11"/>
        <color theme="1"/>
        <rFont val="ＭＳ Ｐゴシック"/>
        <family val="3"/>
        <charset val="128"/>
        <scheme val="minor"/>
      </rPr>
      <t>志泉</t>
    </r>
  </si>
  <si>
    <r>
      <t xml:space="preserve">黄酒; 果酒（含酒精）; 清酒;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</t>
    </r>
  </si>
  <si>
    <t>大隋福</t>
  </si>
  <si>
    <r>
      <t>泸</t>
    </r>
    <r>
      <rPr>
        <sz val="11"/>
        <color theme="1"/>
        <rFont val="ＭＳ Ｐゴシック"/>
        <family val="3"/>
        <charset val="128"/>
        <scheme val="minor"/>
      </rPr>
      <t>州市</t>
    </r>
    <r>
      <rPr>
        <sz val="11"/>
        <color theme="1"/>
        <rFont val="ＭＳ Ｐゴシック"/>
        <family val="3"/>
        <charset val="134"/>
        <scheme val="minor"/>
      </rPr>
      <t>储</t>
    </r>
    <r>
      <rPr>
        <sz val="11"/>
        <color theme="1"/>
        <rFont val="ＭＳ Ｐゴシック"/>
        <family val="3"/>
        <charset val="128"/>
        <scheme val="minor"/>
      </rPr>
      <t>玖坊酒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</si>
  <si>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米酒;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威士忌</t>
    </r>
  </si>
  <si>
    <r>
      <t>东</t>
    </r>
    <r>
      <rPr>
        <sz val="11"/>
        <color theme="1"/>
        <rFont val="ＭＳ Ｐゴシック"/>
        <family val="3"/>
        <charset val="128"/>
        <scheme val="minor"/>
      </rPr>
      <t>方·千</t>
    </r>
    <r>
      <rPr>
        <sz val="11"/>
        <color theme="1"/>
        <rFont val="ＭＳ Ｐゴシック"/>
        <family val="3"/>
        <charset val="134"/>
        <scheme val="minor"/>
      </rPr>
      <t>亿龙</t>
    </r>
  </si>
  <si>
    <r>
      <t>张</t>
    </r>
    <r>
      <rPr>
        <sz val="11"/>
        <color theme="1"/>
        <rFont val="ＭＳ Ｐゴシック"/>
        <family val="3"/>
        <charset val="128"/>
        <scheme val="minor"/>
      </rPr>
      <t>文秀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</si>
  <si>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伏特加酒; 白酒;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威士忌; 食用酒精;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汽酒</t>
    </r>
  </si>
  <si>
    <r>
      <t>悦奇</t>
    </r>
    <r>
      <rPr>
        <sz val="11"/>
        <color theme="1"/>
        <rFont val="ＭＳ Ｐゴシック"/>
        <family val="3"/>
        <charset val="134"/>
        <scheme val="minor"/>
      </rPr>
      <t>丽</t>
    </r>
  </si>
  <si>
    <r>
      <t>深圳市美</t>
    </r>
    <r>
      <rPr>
        <sz val="11"/>
        <color theme="1"/>
        <rFont val="ＭＳ Ｐゴシック"/>
        <family val="3"/>
        <charset val="134"/>
        <scheme val="minor"/>
      </rPr>
      <t>赢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</si>
  <si>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白酒; 蜂蜜酒; 黄酒; 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汽酒; 苹果酒; 葡萄酒;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</si>
  <si>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张</t>
    </r>
    <r>
      <rPr>
        <sz val="11"/>
        <color theme="1"/>
        <rFont val="ＭＳ Ｐゴシック"/>
        <family val="3"/>
        <charset val="128"/>
        <scheme val="minor"/>
      </rPr>
      <t>弓御酒</t>
    </r>
  </si>
  <si>
    <r>
      <t>河南省</t>
    </r>
    <r>
      <rPr>
        <sz val="11"/>
        <color theme="1"/>
        <rFont val="ＭＳ Ｐゴシック"/>
        <family val="3"/>
        <charset val="134"/>
        <scheme val="minor"/>
      </rPr>
      <t>张</t>
    </r>
    <r>
      <rPr>
        <sz val="11"/>
        <color theme="1"/>
        <rFont val="ＭＳ Ｐゴシック"/>
        <family val="3"/>
        <charset val="128"/>
        <scheme val="minor"/>
      </rPr>
      <t>弓酒厂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</si>
  <si>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</si>
  <si>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发</t>
    </r>
    <r>
      <rPr>
        <sz val="11"/>
        <color theme="1"/>
        <rFont val="ＭＳ Ｐゴシック"/>
        <family val="3"/>
        <charset val="128"/>
        <scheme val="minor"/>
      </rPr>
      <t>禹</t>
    </r>
  </si>
  <si>
    <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米酒;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白干酒（中国白酒）; 白葡萄酒;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米酒（泡盛酒）</t>
    </r>
  </si>
  <si>
    <r>
      <t>水</t>
    </r>
    <r>
      <rPr>
        <sz val="11"/>
        <color theme="1"/>
        <rFont val="ＭＳ Ｐゴシック"/>
        <family val="3"/>
        <charset val="134"/>
        <scheme val="minor"/>
      </rPr>
      <t>边</t>
    </r>
    <r>
      <rPr>
        <sz val="11"/>
        <color theme="1"/>
        <rFont val="ＭＳ Ｐゴシック"/>
        <family val="3"/>
        <charset val="128"/>
        <scheme val="minor"/>
      </rPr>
      <t>山</t>
    </r>
  </si>
  <si>
    <r>
      <t>苏</t>
    </r>
    <r>
      <rPr>
        <sz val="11"/>
        <color theme="1"/>
        <rFont val="ＭＳ Ｐゴシック"/>
        <family val="3"/>
        <charset val="128"/>
        <scheme val="minor"/>
      </rPr>
      <t>州春上堂文化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播有限公司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</si>
  <si>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米酒; 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青梅酒; 果酒; 薄荷酒; 果酒（含酒精）; 葡萄酒; 黄酒</t>
    </r>
  </si>
  <si>
    <t>车龙头</t>
  </si>
  <si>
    <t>潘月良</t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</si>
  <si>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米酒;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白酒; 蜂蜜酒</t>
    </r>
  </si>
  <si>
    <t>泰和殿</t>
  </si>
  <si>
    <r>
      <t>大</t>
    </r>
    <r>
      <rPr>
        <sz val="11"/>
        <color theme="1"/>
        <rFont val="ＭＳ Ｐゴシック"/>
        <family val="3"/>
        <charset val="134"/>
        <scheme val="minor"/>
      </rPr>
      <t>连</t>
    </r>
    <r>
      <rPr>
        <sz val="11"/>
        <color theme="1"/>
        <rFont val="ＭＳ Ｐゴシック"/>
        <family val="3"/>
        <charset val="128"/>
        <scheme val="minor"/>
      </rPr>
      <t>市景</t>
    </r>
    <r>
      <rPr>
        <sz val="11"/>
        <color theme="1"/>
        <rFont val="ＭＳ Ｐゴシック"/>
        <family val="3"/>
        <charset val="134"/>
        <scheme val="minor"/>
      </rPr>
      <t>艺</t>
    </r>
    <r>
      <rPr>
        <sz val="11"/>
        <color theme="1"/>
        <rFont val="ＭＳ Ｐゴシック"/>
        <family val="3"/>
        <charset val="128"/>
        <scheme val="minor"/>
      </rPr>
      <t>文旅科技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</si>
  <si>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清酒（日本米酒）; 果酒（含酒精）; 白酒; 黄酒;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</t>
    </r>
  </si>
  <si>
    <r>
      <t>粮王</t>
    </r>
    <r>
      <rPr>
        <sz val="11"/>
        <color theme="1"/>
        <rFont val="ＭＳ Ｐゴシック"/>
        <family val="3"/>
        <charset val="134"/>
        <scheme val="minor"/>
      </rPr>
      <t>满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</si>
  <si>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高粱酒; 烈酒;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白干酒（中国白酒）; 清酒（日本米酒）; 米酒; 白酒;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</si>
  <si>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莫</t>
    </r>
    <r>
      <rPr>
        <sz val="11"/>
        <color theme="1"/>
        <rFont val="ＭＳ Ｐゴシック"/>
        <family val="3"/>
        <charset val="134"/>
        <scheme val="minor"/>
      </rPr>
      <t>义记</t>
    </r>
  </si>
  <si>
    <t>梁葵枝</t>
  </si>
  <si>
    <r>
      <t>果酒（含酒精）; 甜酒; 汽酒;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烈酒; 清酒（日本米酒）; 葡萄酒</t>
    </r>
  </si>
  <si>
    <t>西塞陌</t>
  </si>
  <si>
    <r>
      <t>果酒（含酒精）;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</t>
    </r>
  </si>
  <si>
    <r>
      <t>满</t>
    </r>
    <r>
      <rPr>
        <sz val="11"/>
        <color theme="1"/>
        <rFont val="ＭＳ Ｐゴシック"/>
        <family val="3"/>
        <charset val="128"/>
        <scheme val="minor"/>
      </rPr>
      <t>堂</t>
    </r>
    <r>
      <rPr>
        <sz val="11"/>
        <color theme="1"/>
        <rFont val="ＭＳ Ｐゴシック"/>
        <family val="3"/>
        <charset val="134"/>
        <scheme val="minor"/>
      </rPr>
      <t>娇</t>
    </r>
  </si>
  <si>
    <r>
      <t>连</t>
    </r>
    <r>
      <rPr>
        <sz val="11"/>
        <color theme="1"/>
        <rFont val="ＭＳ Ｐゴシック"/>
        <family val="3"/>
        <charset val="128"/>
        <scheme val="minor"/>
      </rPr>
      <t>云港小状元托管有限公司</t>
    </r>
  </si>
  <si>
    <r>
      <t>白酒;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果酒; 朗姆酒; 威士忌; 米酒;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</si>
  <si>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RAINERI</t>
  </si>
  <si>
    <r>
      <t>顶</t>
    </r>
    <r>
      <rPr>
        <sz val="11"/>
        <color theme="1"/>
        <rFont val="ＭＳ Ｐゴシック"/>
        <family val="3"/>
        <charset val="128"/>
        <scheme val="minor"/>
      </rPr>
      <t>丰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易（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莞）有限公司</t>
    </r>
  </si>
  <si>
    <r>
      <t>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伏特加酒; 清酒; 朗姆酒; 烈酒; 威士忌;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</si>
  <si>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津有囍事</t>
  </si>
  <si>
    <r>
      <t>天津翊隆管理咨</t>
    </r>
    <r>
      <rPr>
        <sz val="11"/>
        <color theme="1"/>
        <rFont val="ＭＳ Ｐゴシック"/>
        <family val="3"/>
        <charset val="134"/>
        <scheme val="minor"/>
      </rPr>
      <t>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</si>
  <si>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葡萄酒; 白酒;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 xml:space="preserve">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蒸煮提取物（利口酒和烈酒）;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</si>
  <si>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状善香花</t>
  </si>
  <si>
    <r>
      <t>苏</t>
    </r>
    <r>
      <rPr>
        <sz val="11"/>
        <color theme="1"/>
        <rFont val="ＭＳ Ｐゴシック"/>
        <family val="3"/>
        <charset val="128"/>
        <scheme val="minor"/>
      </rPr>
      <t>州若海通</t>
    </r>
    <r>
      <rPr>
        <sz val="11"/>
        <color theme="1"/>
        <rFont val="ＭＳ Ｐゴシック"/>
        <family val="3"/>
        <charset val="134"/>
        <scheme val="minor"/>
      </rPr>
      <t>讯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</si>
  <si>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葡萄酒; 白葡萄酒; 日本梅子酒; 青稞酒; 黄酒;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</si>
  <si>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小洞庭悦湘</t>
  </si>
  <si>
    <t>刘学文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</si>
  <si>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果酒; 白酒; 烈酒; 甜酒;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开胃酒</t>
    </r>
  </si>
  <si>
    <t>信聚台</t>
  </si>
  <si>
    <r>
      <t>杨</t>
    </r>
    <r>
      <rPr>
        <sz val="11"/>
        <color theme="1"/>
        <rFont val="ＭＳ Ｐゴシック"/>
        <family val="3"/>
        <charset val="128"/>
        <scheme val="minor"/>
      </rPr>
      <t>燕雪</t>
    </r>
  </si>
  <si>
    <r>
      <t>青稞酒; 露酒; 米酒; 黄酒; 白酒; 高粱酒; 果酒;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</si>
  <si>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大运牛牛道</t>
  </si>
  <si>
    <r>
      <t>汽酒; 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高粱酒; 食用酒精;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</si>
  <si>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楚玲</t>
    </r>
    <r>
      <rPr>
        <sz val="11"/>
        <color theme="1"/>
        <rFont val="ＭＳ Ｐゴシック"/>
        <family val="3"/>
        <charset val="134"/>
        <scheme val="minor"/>
      </rPr>
      <t>珑</t>
    </r>
  </si>
  <si>
    <t>彭未来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</si>
  <si>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白干酒（中国白酒）</t>
    </r>
  </si>
  <si>
    <r>
      <t>E号</t>
    </r>
    <r>
      <rPr>
        <sz val="11"/>
        <color theme="1"/>
        <rFont val="ＭＳ Ｐゴシック"/>
        <family val="3"/>
        <charset val="134"/>
        <scheme val="minor"/>
      </rPr>
      <t>卫</t>
    </r>
    <r>
      <rPr>
        <sz val="11"/>
        <color theme="1"/>
        <rFont val="ＭＳ Ｐゴシック"/>
        <family val="3"/>
        <charset val="128"/>
        <scheme val="minor"/>
      </rPr>
      <t>士</t>
    </r>
  </si>
  <si>
    <t>岳会芳</t>
  </si>
  <si>
    <t>汽酒; 黄酒; 开胃酒; 清酒; 食用酒精; 白酒; 米酒; 果酒; 葡萄酒; 甜酒</t>
  </si>
  <si>
    <t>YAYUJIU</t>
  </si>
  <si>
    <r>
      <t>白酒; 白干酒（中国白酒）;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米酒（泡盛酒）;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米酒; 白葡萄酒;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</si>
  <si>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圣</t>
    </r>
    <r>
      <rPr>
        <sz val="11"/>
        <color theme="1"/>
        <rFont val="ＭＳ Ｐゴシック"/>
        <family val="3"/>
        <charset val="134"/>
        <scheme val="minor"/>
      </rPr>
      <t>谈</t>
    </r>
  </si>
  <si>
    <r>
      <t>忻州市忻府区</t>
    </r>
    <r>
      <rPr>
        <sz val="11"/>
        <color theme="1"/>
        <rFont val="ＭＳ Ｐゴシック"/>
        <family val="3"/>
        <charset val="134"/>
        <scheme val="minor"/>
      </rPr>
      <t>创</t>
    </r>
    <r>
      <rPr>
        <sz val="11"/>
        <color theme="1"/>
        <rFont val="ＭＳ Ｐゴシック"/>
        <family val="3"/>
        <charset val="128"/>
        <scheme val="minor"/>
      </rPr>
      <t>梦</t>
    </r>
    <r>
      <rPr>
        <sz val="11"/>
        <color theme="1"/>
        <rFont val="ＭＳ Ｐゴシック"/>
        <family val="3"/>
        <charset val="134"/>
        <scheme val="minor"/>
      </rPr>
      <t>时态</t>
    </r>
    <r>
      <rPr>
        <sz val="11"/>
        <color theme="1"/>
        <rFont val="ＭＳ Ｐゴシック"/>
        <family val="3"/>
        <charset val="128"/>
        <scheme val="minor"/>
      </rPr>
      <t>咨</t>
    </r>
    <r>
      <rPr>
        <sz val="11"/>
        <color theme="1"/>
        <rFont val="ＭＳ Ｐゴシック"/>
        <family val="3"/>
        <charset val="134"/>
        <scheme val="minor"/>
      </rPr>
      <t>询</t>
    </r>
    <r>
      <rPr>
        <sz val="11"/>
        <color theme="1"/>
        <rFont val="ＭＳ Ｐゴシック"/>
        <family val="3"/>
        <charset val="128"/>
        <scheme val="minor"/>
      </rPr>
      <t>服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事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所（个人独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）</t>
    </r>
  </si>
  <si>
    <r>
      <t>米酒; 含酒精的水果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白酒; 开胃酒;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蜂蜜酒; 黄酒</t>
    </r>
  </si>
  <si>
    <r>
      <t>酿</t>
    </r>
    <r>
      <rPr>
        <sz val="11"/>
        <color theme="1"/>
        <rFont val="ＭＳ Ｐゴシック"/>
        <family val="3"/>
        <charset val="128"/>
        <scheme val="minor"/>
      </rPr>
      <t>溪谷</t>
    </r>
  </si>
  <si>
    <t>徐舟</t>
  </si>
  <si>
    <r>
      <t>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清酒（日本米酒）;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朗姆酒; 伏特加酒; 黄酒; 白酒</t>
    </r>
  </si>
  <si>
    <r>
      <t>丁祥</t>
    </r>
    <r>
      <rPr>
        <sz val="11"/>
        <color theme="1"/>
        <rFont val="ＭＳ Ｐゴシック"/>
        <family val="3"/>
        <charset val="134"/>
        <scheme val="minor"/>
      </rPr>
      <t>庆</t>
    </r>
  </si>
  <si>
    <r>
      <t>张龙</t>
    </r>
    <r>
      <rPr>
        <sz val="11"/>
        <color theme="1"/>
        <rFont val="ＭＳ Ｐゴシック"/>
        <family val="3"/>
        <charset val="128"/>
        <scheme val="minor"/>
      </rPr>
      <t>森</t>
    </r>
  </si>
  <si>
    <r>
      <t>蜂蜜酒; 薄荷酒; 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白酒; 伏特加酒; 黄酒</t>
    </r>
  </si>
  <si>
    <r>
      <t>卷云</t>
    </r>
    <r>
      <rPr>
        <sz val="11"/>
        <color theme="1"/>
        <rFont val="ＭＳ Ｐゴシック"/>
        <family val="3"/>
        <charset val="134"/>
        <scheme val="minor"/>
      </rPr>
      <t>长</t>
    </r>
    <r>
      <rPr>
        <sz val="11"/>
        <color theme="1"/>
        <rFont val="ＭＳ Ｐゴシック"/>
        <family val="3"/>
        <charset val="128"/>
        <scheme val="minor"/>
      </rPr>
      <t>相思</t>
    </r>
  </si>
  <si>
    <r>
      <t>北京云</t>
    </r>
    <r>
      <rPr>
        <sz val="11"/>
        <color theme="1"/>
        <rFont val="ＭＳ Ｐゴシック"/>
        <family val="3"/>
        <charset val="134"/>
        <scheme val="minor"/>
      </rPr>
      <t>图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</si>
  <si>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利口酒;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清酒; 威士忌;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汽酒</t>
    </r>
  </si>
  <si>
    <t>心果季庄</t>
  </si>
  <si>
    <r>
      <t>石家庄英漫企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管理咨</t>
    </r>
    <r>
      <rPr>
        <sz val="11"/>
        <color theme="1"/>
        <rFont val="ＭＳ Ｐゴシック"/>
        <family val="3"/>
        <charset val="134"/>
        <scheme val="minor"/>
      </rPr>
      <t>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</si>
  <si>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蜂蜜酒; 果酒; 梨酒; 苹果酒;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</si>
  <si>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MOITA DO LOBO</t>
  </si>
  <si>
    <r>
      <t>友力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</si>
  <si>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果酒（含酒精）; 白酒; 葡萄酒;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烈酒;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</t>
    </r>
  </si>
  <si>
    <r>
      <t>送喜</t>
    </r>
    <r>
      <rPr>
        <sz val="11"/>
        <color theme="1"/>
        <rFont val="ＭＳ Ｐゴシック"/>
        <family val="3"/>
        <charset val="134"/>
        <scheme val="minor"/>
      </rPr>
      <t>龙</t>
    </r>
  </si>
  <si>
    <r>
      <t>彭志</t>
    </r>
    <r>
      <rPr>
        <sz val="11"/>
        <color theme="1"/>
        <rFont val="ＭＳ Ｐゴシック"/>
        <family val="3"/>
        <charset val="134"/>
        <scheme val="minor"/>
      </rPr>
      <t>华</t>
    </r>
  </si>
  <si>
    <r>
      <t xml:space="preserve">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白干酒（中国白酒）;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清酒（日本米酒）; 高粱酒; 白酒</t>
    </r>
  </si>
  <si>
    <t>从容戈</t>
  </si>
  <si>
    <t>李和林</t>
  </si>
  <si>
    <r>
      <t xml:space="preserve">开胃酒; 蒸煮提取物（利口酒和烈酒）;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 xml:space="preserve">汁; 青稞酒;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白酒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</si>
  <si>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州金丹阿</t>
    </r>
    <r>
      <rPr>
        <sz val="11"/>
        <color theme="1"/>
        <rFont val="ＭＳ Ｐゴシック"/>
        <family val="3"/>
        <charset val="134"/>
        <scheme val="minor"/>
      </rPr>
      <t>娇</t>
    </r>
    <r>
      <rPr>
        <sz val="11"/>
        <color theme="1"/>
        <rFont val="ＭＳ Ｐゴシック"/>
        <family val="3"/>
        <charset val="128"/>
        <scheme val="minor"/>
      </rPr>
      <t>文化旅游投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</si>
  <si>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酒（烈酒）; 葡萄酒; 米酒; 白酒; 果酒; 高粱酒; 利口酒;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</si>
  <si>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郝</t>
    </r>
    <r>
      <rPr>
        <sz val="11"/>
        <color theme="1"/>
        <rFont val="ＭＳ Ｐゴシック"/>
        <family val="3"/>
        <charset val="134"/>
        <scheme val="minor"/>
      </rPr>
      <t>虾记</t>
    </r>
  </si>
  <si>
    <r>
      <t>潜江郝</t>
    </r>
    <r>
      <rPr>
        <sz val="11"/>
        <color theme="1"/>
        <rFont val="ＭＳ Ｐゴシック"/>
        <family val="3"/>
        <charset val="134"/>
        <scheme val="minor"/>
      </rPr>
      <t>虾记</t>
    </r>
    <r>
      <rPr>
        <sz val="11"/>
        <color theme="1"/>
        <rFont val="ＭＳ Ｐゴシック"/>
        <family val="3"/>
        <charset val="128"/>
        <scheme val="minor"/>
      </rPr>
      <t>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</si>
  <si>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米酒; 烈酒; 清酒; 果酒;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白酒; 威士忌</t>
    </r>
  </si>
  <si>
    <t>CONSTANT KISS</t>
  </si>
  <si>
    <t>湖南英力雷德科技有限公司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</si>
  <si>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威士忌; 果酒（含酒精）; 白酒; 葡萄酒;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</si>
  <si>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五月熊猫</t>
  </si>
  <si>
    <r>
      <t>义乌</t>
    </r>
    <r>
      <rPr>
        <sz val="11"/>
        <color theme="1"/>
        <rFont val="ＭＳ Ｐゴシック"/>
        <family val="3"/>
        <charset val="128"/>
        <scheme val="minor"/>
      </rPr>
      <t>市苡蓓</t>
    </r>
    <r>
      <rPr>
        <sz val="11"/>
        <color theme="1"/>
        <rFont val="ＭＳ Ｐゴシック"/>
        <family val="3"/>
        <charset val="134"/>
        <scheme val="minor"/>
      </rPr>
      <t>电</t>
    </r>
    <r>
      <rPr>
        <sz val="11"/>
        <color theme="1"/>
        <rFont val="ＭＳ Ｐゴシック"/>
        <family val="3"/>
        <charset val="128"/>
        <scheme val="minor"/>
      </rPr>
      <t>子商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</si>
  <si>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威士忌;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食用酒精;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果酒（含酒精）</t>
    </r>
  </si>
  <si>
    <r>
      <t>李如</t>
    </r>
    <r>
      <rPr>
        <sz val="11"/>
        <color theme="1"/>
        <rFont val="ＭＳ Ｐゴシック"/>
        <family val="3"/>
        <charset val="134"/>
        <scheme val="minor"/>
      </rPr>
      <t>龙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</si>
  <si>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薄荷酒; 白酒; 青稞酒; 蜂蜜酒;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</si>
  <si>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传</t>
    </r>
    <r>
      <rPr>
        <sz val="11"/>
        <color theme="1"/>
        <rFont val="ＭＳ Ｐゴシック"/>
        <family val="3"/>
        <charset val="128"/>
        <scheme val="minor"/>
      </rPr>
      <t>承善</t>
    </r>
  </si>
  <si>
    <r>
      <t>汤</t>
    </r>
    <r>
      <rPr>
        <sz val="11"/>
        <color theme="1"/>
        <rFont val="ＭＳ Ｐゴシック"/>
        <family val="3"/>
        <charset val="128"/>
        <scheme val="minor"/>
      </rPr>
      <t>全福</t>
    </r>
  </si>
  <si>
    <r>
      <t xml:space="preserve">高粱酒;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米酒; 白酒; 黄酒; 烈酒; 清酒; 葡萄酒; 露酒</t>
    </r>
  </si>
  <si>
    <r>
      <t>琴</t>
    </r>
    <r>
      <rPr>
        <sz val="11"/>
        <color theme="1"/>
        <rFont val="ＭＳ Ｐゴシック"/>
        <family val="3"/>
        <charset val="134"/>
        <scheme val="minor"/>
      </rPr>
      <t>鹤</t>
    </r>
    <r>
      <rPr>
        <sz val="11"/>
        <color theme="1"/>
        <rFont val="ＭＳ Ｐゴシック"/>
        <family val="3"/>
        <charset val="128"/>
        <scheme val="minor"/>
      </rPr>
      <t>清</t>
    </r>
    <r>
      <rPr>
        <sz val="11"/>
        <color theme="1"/>
        <rFont val="ＭＳ Ｐゴシック"/>
        <family val="3"/>
        <charset val="129"/>
        <scheme val="minor"/>
      </rPr>
      <t>怀</t>
    </r>
  </si>
  <si>
    <t>彭荣慧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</si>
  <si>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黄酒;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</si>
  <si>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至尊粮</t>
    </r>
    <r>
      <rPr>
        <sz val="11"/>
        <color theme="1"/>
        <rFont val="ＭＳ Ｐゴシック"/>
        <family val="3"/>
        <charset val="134"/>
        <scheme val="minor"/>
      </rPr>
      <t>缘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</si>
  <si>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白酒; 高粱酒;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烈酒; 葡萄酒; 清酒（日本米酒）; 白干酒（中国白酒）;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</si>
  <si>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名本同山</t>
  </si>
  <si>
    <t>金水根</t>
  </si>
  <si>
    <r>
      <t>黄酒; 白酒; 果酒;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汽酒;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</si>
  <si>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r>
      <t>龙</t>
    </r>
    <r>
      <rPr>
        <sz val="11"/>
        <color theme="1"/>
        <rFont val="ＭＳ Ｐゴシック"/>
        <family val="3"/>
        <charset val="128"/>
        <scheme val="minor"/>
      </rPr>
      <t>成</t>
    </r>
    <r>
      <rPr>
        <sz val="11"/>
        <color theme="1"/>
        <rFont val="ＭＳ Ｐゴシック"/>
        <family val="3"/>
        <charset val="134"/>
        <scheme val="minor"/>
      </rPr>
      <t>凤华</t>
    </r>
  </si>
  <si>
    <r>
      <t>王朝</t>
    </r>
    <r>
      <rPr>
        <sz val="11"/>
        <color theme="1"/>
        <rFont val="ＭＳ Ｐゴシック"/>
        <family val="3"/>
        <charset val="134"/>
        <scheme val="minor"/>
      </rPr>
      <t>伦</t>
    </r>
  </si>
  <si>
    <r>
      <t xml:space="preserve">果酒（含酒精）; 茴芹酒（利口酒）; 餐后酒（利口酒和烈酒）; 开胃酒; 苹果酒;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葡萄酒; 利口酒; 茴香酒（利口酒）</t>
    </r>
  </si>
  <si>
    <r>
      <t>鹤</t>
    </r>
    <r>
      <rPr>
        <sz val="11"/>
        <color theme="1"/>
        <rFont val="ＭＳ Ｐゴシック"/>
        <family val="3"/>
        <charset val="128"/>
        <scheme val="minor"/>
      </rPr>
      <t>众</t>
    </r>
    <r>
      <rPr>
        <sz val="11"/>
        <color theme="1"/>
        <rFont val="ＭＳ Ｐゴシック"/>
        <family val="3"/>
        <charset val="134"/>
        <scheme val="minor"/>
      </rPr>
      <t>门</t>
    </r>
  </si>
  <si>
    <r>
      <t>广州</t>
    </r>
    <r>
      <rPr>
        <sz val="11"/>
        <color theme="1"/>
        <rFont val="ＭＳ Ｐゴシック"/>
        <family val="3"/>
        <charset val="134"/>
        <scheme val="minor"/>
      </rPr>
      <t>鹤</t>
    </r>
    <r>
      <rPr>
        <sz val="11"/>
        <color theme="1"/>
        <rFont val="ＭＳ Ｐゴシック"/>
        <family val="3"/>
        <charset val="128"/>
        <scheme val="minor"/>
      </rPr>
      <t>众</t>
    </r>
    <r>
      <rPr>
        <sz val="11"/>
        <color theme="1"/>
        <rFont val="ＭＳ Ｐゴシック"/>
        <family val="3"/>
        <charset val="134"/>
        <scheme val="minor"/>
      </rPr>
      <t>门</t>
    </r>
    <r>
      <rPr>
        <sz val="11"/>
        <color theme="1"/>
        <rFont val="ＭＳ Ｐゴシック"/>
        <family val="3"/>
        <charset val="128"/>
        <scheme val="minor"/>
      </rPr>
      <t>量子科技有限公司</t>
    </r>
  </si>
  <si>
    <r>
      <t>米酒; 果酒（含酒精）; 开胃酒; 黄酒; 白酒; 食用酒精;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蒸煮提取物（利口酒和烈酒）; 葡萄酒</t>
    </r>
  </si>
  <si>
    <t>悠山哥</t>
  </si>
  <si>
    <r>
      <t>海南悠山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</si>
  <si>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 xml:space="preserve">开胃酒; 葡萄酒; 草莓酒; 青梅酒;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 xml:space="preserve">梅酒;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朗姆酒;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</si>
  <si>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天昼</t>
  </si>
  <si>
    <r>
      <t>四川阳安酒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</si>
  <si>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青稞酒; 黄酒; 白酒; 葡萄酒; 蜂蜜酒;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</si>
  <si>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广致</t>
  </si>
  <si>
    <r>
      <t>广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金液福酒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</si>
  <si>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米酒; 青稞酒; </t>
    </r>
    <r>
      <rPr>
        <sz val="11"/>
        <color theme="1"/>
        <rFont val="ＭＳ Ｐゴシック"/>
        <family val="3"/>
        <charset val="134"/>
        <scheme val="minor"/>
      </rPr>
      <t>亚</t>
    </r>
    <r>
      <rPr>
        <sz val="11"/>
        <color theme="1"/>
        <rFont val="ＭＳ Ｐゴシック"/>
        <family val="3"/>
        <charset val="128"/>
        <scheme val="minor"/>
      </rPr>
      <t xml:space="preserve">力酒;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葡萄酒; 黄酒; 伏特加酒</t>
    </r>
  </si>
  <si>
    <t>淄小泊</t>
  </si>
  <si>
    <r>
      <t>冯</t>
    </r>
    <r>
      <rPr>
        <sz val="11"/>
        <color theme="1"/>
        <rFont val="ＭＳ Ｐゴシック"/>
        <family val="3"/>
        <charset val="128"/>
        <scheme val="minor"/>
      </rPr>
      <t>振波*****************X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</si>
  <si>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黄酒;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白酒</t>
    </r>
  </si>
  <si>
    <r>
      <t>杨</t>
    </r>
    <r>
      <rPr>
        <sz val="11"/>
        <color theme="1"/>
        <rFont val="ＭＳ Ｐゴシック"/>
        <family val="3"/>
        <charset val="128"/>
        <scheme val="minor"/>
      </rPr>
      <t>香春</t>
    </r>
  </si>
  <si>
    <t>林大明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</si>
  <si>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高粱酒; 烈酒; 白酒; 果酒（含酒精）;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葡萄酒</t>
    </r>
  </si>
  <si>
    <t>舒达源</t>
  </si>
  <si>
    <r>
      <t>黑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江舒达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品有限公司</t>
    </r>
  </si>
  <si>
    <r>
      <t xml:space="preserve">白酒; 果酒（含酒精）;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苹果酒; 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汽酒</t>
    </r>
  </si>
  <si>
    <r>
      <t>忆</t>
    </r>
    <r>
      <rPr>
        <sz val="11"/>
        <color theme="1"/>
        <rFont val="ＭＳ Ｐゴシック"/>
        <family val="3"/>
        <charset val="128"/>
        <scheme val="minor"/>
      </rPr>
      <t>花</t>
    </r>
    <r>
      <rPr>
        <sz val="11"/>
        <color theme="1"/>
        <rFont val="ＭＳ Ｐゴシック"/>
        <family val="3"/>
        <charset val="134"/>
        <scheme val="minor"/>
      </rPr>
      <t>红</t>
    </r>
  </si>
  <si>
    <r>
      <t>内蒙古</t>
    </r>
    <r>
      <rPr>
        <sz val="11"/>
        <color theme="1"/>
        <rFont val="ＭＳ Ｐゴシック"/>
        <family val="3"/>
        <charset val="134"/>
        <scheme val="minor"/>
      </rPr>
      <t>兴</t>
    </r>
    <r>
      <rPr>
        <sz val="11"/>
        <color theme="1"/>
        <rFont val="ＭＳ Ｐゴシック"/>
        <family val="3"/>
        <charset val="128"/>
        <scheme val="minor"/>
      </rPr>
      <t>安盟可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食品有限公司</t>
    </r>
  </si>
  <si>
    <r>
      <t xml:space="preserve">黄酒;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高粱酒; 葡萄酒;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</si>
  <si>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九心美</t>
  </si>
  <si>
    <r>
      <t>刘</t>
    </r>
    <r>
      <rPr>
        <sz val="11"/>
        <color theme="1"/>
        <rFont val="ＭＳ Ｐゴシック"/>
        <family val="3"/>
        <charset val="134"/>
        <scheme val="minor"/>
      </rPr>
      <t>艳</t>
    </r>
    <r>
      <rPr>
        <sz val="11"/>
        <color theme="1"/>
        <rFont val="ＭＳ Ｐゴシック"/>
        <family val="3"/>
        <charset val="128"/>
        <scheme val="minor"/>
      </rPr>
      <t>萍</t>
    </r>
  </si>
  <si>
    <r>
      <t>甜酒;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米酒（泡盛酒）; 白酒;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水果汽酒; 米酒; 黄酒;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白葡萄酒; 果酒（含酒精）</t>
    </r>
  </si>
  <si>
    <r>
      <t>南洲</t>
    </r>
    <r>
      <rPr>
        <sz val="11"/>
        <color theme="1"/>
        <rFont val="ＭＳ Ｐゴシック"/>
        <family val="3"/>
        <charset val="134"/>
        <scheme val="minor"/>
      </rPr>
      <t>远</t>
    </r>
    <r>
      <rPr>
        <sz val="11"/>
        <color theme="1"/>
        <rFont val="ＭＳ Ｐゴシック"/>
        <family val="3"/>
        <charset val="128"/>
        <scheme val="minor"/>
      </rPr>
      <t>古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</si>
  <si>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黄酒; 葡萄酒;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果酒（含酒精）; 青稞酒</t>
    </r>
  </si>
  <si>
    <t>狐狸大叔</t>
  </si>
  <si>
    <t>解超</t>
  </si>
  <si>
    <r>
      <t>利口酒;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黄酒;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果酒（含酒精）; 葡萄酒;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</si>
  <si>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弱水千源</t>
  </si>
  <si>
    <r>
      <t xml:space="preserve">白酒; 葡萄酒; 食用酒精; 米酒; 青稞酒; 高粱酒; 果酒（含酒精）; 黄酒; 酸酒（低等葡萄酒）;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</si>
  <si>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凤</t>
    </r>
    <r>
      <rPr>
        <sz val="11"/>
        <color theme="1"/>
        <rFont val="ＭＳ Ｐゴシック"/>
        <family val="3"/>
        <charset val="128"/>
        <scheme val="minor"/>
      </rPr>
      <t>林</t>
    </r>
    <r>
      <rPr>
        <sz val="11"/>
        <color theme="1"/>
        <rFont val="ＭＳ Ｐゴシック"/>
        <family val="3"/>
        <charset val="134"/>
        <scheme val="minor"/>
      </rPr>
      <t>崃</t>
    </r>
    <r>
      <rPr>
        <sz val="11"/>
        <color theme="1"/>
        <rFont val="ＭＳ Ｐゴシック"/>
        <family val="3"/>
        <charset val="128"/>
        <scheme val="minor"/>
      </rPr>
      <t>山二曲</t>
    </r>
  </si>
  <si>
    <r>
      <t>四川省邛</t>
    </r>
    <r>
      <rPr>
        <sz val="11"/>
        <color theme="1"/>
        <rFont val="ＭＳ Ｐゴシック"/>
        <family val="3"/>
        <charset val="134"/>
        <scheme val="minor"/>
      </rPr>
      <t>崃</t>
    </r>
    <r>
      <rPr>
        <sz val="11"/>
        <color theme="1"/>
        <rFont val="ＭＳ Ｐゴシック"/>
        <family val="3"/>
        <charset val="128"/>
        <scheme val="minor"/>
      </rPr>
      <t>市源泉酒厂</t>
    </r>
  </si>
  <si>
    <r>
      <t>果酒（含酒精）; 开胃酒; 清酒（日本米酒）; 食用酒精;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威士忌; 白酒; 利口酒;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</si>
  <si>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大</t>
    </r>
    <r>
      <rPr>
        <sz val="11"/>
        <color theme="1"/>
        <rFont val="ＭＳ Ｐゴシック"/>
        <family val="3"/>
        <charset val="134"/>
        <scheme val="minor"/>
      </rPr>
      <t>顺</t>
    </r>
    <r>
      <rPr>
        <sz val="11"/>
        <color theme="1"/>
        <rFont val="ＭＳ Ｐゴシック"/>
        <family val="3"/>
        <charset val="128"/>
        <scheme val="minor"/>
      </rPr>
      <t>口</t>
    </r>
  </si>
  <si>
    <t>刘波******************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</si>
  <si>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苦味酒;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利口酒;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开胃酒; 蒸煮提取物（利口酒和烈酒）; 梨酒</t>
    </r>
  </si>
  <si>
    <t>黔六囍</t>
  </si>
  <si>
    <t>江学魁</t>
  </si>
  <si>
    <r>
      <t xml:space="preserve">果酒（含酒精）; 甜酒; 烈酒; 米酒; 高粱酒;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</t>
    </r>
  </si>
  <si>
    <t>王裕泉</t>
  </si>
  <si>
    <r>
      <t>山西王府裕</t>
    </r>
    <r>
      <rPr>
        <sz val="11"/>
        <color theme="1"/>
        <rFont val="ＭＳ Ｐゴシック"/>
        <family val="3"/>
        <charset val="134"/>
        <scheme val="minor"/>
      </rPr>
      <t>记</t>
    </r>
    <r>
      <rPr>
        <sz val="11"/>
        <color theme="1"/>
        <rFont val="ＭＳ Ｐゴシック"/>
        <family val="3"/>
        <charset val="128"/>
        <scheme val="minor"/>
      </rPr>
      <t>酒坊有限公司</t>
    </r>
  </si>
  <si>
    <r>
      <t xml:space="preserve">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青稞酒; 黄酒; 果酒; 高粱酒; 烈酒; 葡萄酒; 露酒; 白酒</t>
    </r>
  </si>
  <si>
    <r>
      <t>剑</t>
    </r>
    <r>
      <rPr>
        <sz val="11"/>
        <color theme="1"/>
        <rFont val="ＭＳ Ｐゴシック"/>
        <family val="3"/>
        <charset val="128"/>
        <scheme val="minor"/>
      </rPr>
      <t>福台</t>
    </r>
  </si>
  <si>
    <r>
      <t>赵</t>
    </r>
    <r>
      <rPr>
        <sz val="11"/>
        <color theme="1"/>
        <rFont val="ＭＳ Ｐゴシック"/>
        <family val="3"/>
        <charset val="128"/>
        <scheme val="minor"/>
      </rPr>
      <t>勇</t>
    </r>
  </si>
  <si>
    <r>
      <t>青稞酒;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葡萄酒; 白酒;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开胃酒; 伏特加酒</t>
    </r>
  </si>
  <si>
    <t>隋唐福</t>
  </si>
  <si>
    <r>
      <t>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食用酒精; 威士忌;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</si>
  <si>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金豫煌</t>
  </si>
  <si>
    <t>葛守林******************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</si>
  <si>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餐后酒（利口酒和烈酒）;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苦味酒;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青稞酒; 黄酒; 葡萄酒; 果酒（含酒精）</t>
    </r>
  </si>
  <si>
    <r>
      <t>金</t>
    </r>
    <r>
      <rPr>
        <sz val="11"/>
        <color theme="1"/>
        <rFont val="ＭＳ Ｐゴシック"/>
        <family val="3"/>
        <charset val="134"/>
        <scheme val="minor"/>
      </rPr>
      <t>郑</t>
    </r>
    <r>
      <rPr>
        <sz val="11"/>
        <color theme="1"/>
        <rFont val="ＭＳ Ｐゴシック"/>
        <family val="3"/>
        <charset val="128"/>
        <scheme val="minor"/>
      </rPr>
      <t>煌</t>
    </r>
  </si>
  <si>
    <r>
      <t>果酒（含酒精）; 苦味酒; 葡萄酒; 白酒; 青稞酒;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餐后酒（利口酒和烈酒）; 黄酒</t>
    </r>
  </si>
  <si>
    <t>太晶</t>
  </si>
  <si>
    <r>
      <t>广州市太晶国</t>
    </r>
    <r>
      <rPr>
        <sz val="11"/>
        <color theme="1"/>
        <rFont val="ＭＳ Ｐゴシック"/>
        <family val="3"/>
        <charset val="134"/>
        <scheme val="minor"/>
      </rPr>
      <t>际贸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</si>
  <si>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</t>
    </r>
  </si>
  <si>
    <r>
      <t>问</t>
    </r>
    <r>
      <rPr>
        <sz val="11"/>
        <color theme="1"/>
        <rFont val="ＭＳ Ｐゴシック"/>
        <family val="3"/>
        <charset val="128"/>
        <scheme val="minor"/>
      </rPr>
      <t>道中</t>
    </r>
    <r>
      <rPr>
        <sz val="11"/>
        <color theme="1"/>
        <rFont val="ＭＳ Ｐゴシック"/>
        <family val="3"/>
        <charset val="134"/>
        <scheme val="minor"/>
      </rPr>
      <t>兿</t>
    </r>
  </si>
  <si>
    <t>广州芊沐科技有限公司</t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</si>
  <si>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白酒; 含酒精的气泡水;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葡萄酒; 威士忌; 果酒（含酒精）</t>
    </r>
  </si>
  <si>
    <r>
      <t>邻</t>
    </r>
    <r>
      <rPr>
        <sz val="11"/>
        <color theme="1"/>
        <rFont val="ＭＳ Ｐゴシック"/>
        <family val="3"/>
        <charset val="128"/>
        <scheme val="minor"/>
      </rPr>
      <t>井</t>
    </r>
    <r>
      <rPr>
        <sz val="11"/>
        <color theme="1"/>
        <rFont val="ＭＳ Ｐゴシック"/>
        <family val="3"/>
        <charset val="134"/>
        <scheme val="minor"/>
      </rPr>
      <t>贡</t>
    </r>
  </si>
  <si>
    <r>
      <t>上海望帆文化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</si>
  <si>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散花天</t>
    </r>
    <r>
      <rPr>
        <sz val="11"/>
        <color theme="1"/>
        <rFont val="ＭＳ Ｐゴシック"/>
        <family val="3"/>
        <charset val="134"/>
        <scheme val="minor"/>
      </rPr>
      <t>时</t>
    </r>
  </si>
  <si>
    <t>刘大阳</t>
  </si>
  <si>
    <r>
      <t>烈酒; 黄酒; 清酒; 白干酒（中国白酒）; 米酒; 果酒;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葡萄酒; 高粱酒;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</si>
  <si>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翠漫</t>
    </r>
    <r>
      <rPr>
        <sz val="11"/>
        <color theme="1"/>
        <rFont val="ＭＳ Ｐゴシック"/>
        <family val="3"/>
        <charset val="134"/>
        <scheme val="minor"/>
      </rPr>
      <t>隐</t>
    </r>
    <r>
      <rPr>
        <sz val="11"/>
        <color theme="1"/>
        <rFont val="ＭＳ Ｐゴシック"/>
        <family val="3"/>
        <charset val="128"/>
        <scheme val="minor"/>
      </rPr>
      <t>都</t>
    </r>
  </si>
  <si>
    <t>李建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</si>
  <si>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甜酒; 黄酒; 青稞酒; 佐餐酒; 果酒; 米酒; 葡萄酒</t>
    </r>
  </si>
  <si>
    <t>一牧禛品</t>
  </si>
  <si>
    <r>
      <t>阿勒泰地区一牧</t>
    </r>
    <r>
      <rPr>
        <sz val="11"/>
        <color theme="1"/>
        <rFont val="ＭＳ Ｐゴシック"/>
        <family val="3"/>
        <charset val="134"/>
        <scheme val="minor"/>
      </rPr>
      <t>场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</si>
  <si>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果酒（含酒精）; 蜂蜜酒; 甜酒;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白干酒（中国白酒）;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主的开胃酒; 白酒</t>
    </r>
  </si>
  <si>
    <r>
      <t>鸿</t>
    </r>
    <r>
      <rPr>
        <sz val="11"/>
        <color theme="1"/>
        <rFont val="ＭＳ Ｐゴシック"/>
        <family val="3"/>
        <charset val="128"/>
        <scheme val="minor"/>
      </rPr>
      <t>晟堂</t>
    </r>
  </si>
  <si>
    <r>
      <t>榆</t>
    </r>
    <r>
      <rPr>
        <sz val="11"/>
        <color theme="1"/>
        <rFont val="ＭＳ Ｐゴシック"/>
        <family val="3"/>
        <charset val="134"/>
        <scheme val="minor"/>
      </rPr>
      <t>树</t>
    </r>
    <r>
      <rPr>
        <sz val="11"/>
        <color theme="1"/>
        <rFont val="ＭＳ Ｐゴシック"/>
        <family val="3"/>
        <charset val="128"/>
        <scheme val="minor"/>
      </rPr>
      <t>市天池酒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</si>
  <si>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蜂蜜酒; 开胃酒; 白酒;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</si>
  <si>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河南省世</t>
    </r>
    <r>
      <rPr>
        <sz val="11"/>
        <color theme="1"/>
        <rFont val="ＭＳ Ｐゴシック"/>
        <family val="3"/>
        <charset val="134"/>
        <scheme val="minor"/>
      </rPr>
      <t>纪</t>
    </r>
    <r>
      <rPr>
        <sz val="11"/>
        <color theme="1"/>
        <rFont val="ＭＳ Ｐゴシック"/>
        <family val="3"/>
        <charset val="128"/>
        <scheme val="minor"/>
      </rPr>
      <t>虹文化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</si>
  <si>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 xml:space="preserve">米酒; 葡萄酒; 烈酒; 黄酒; 利口酒;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</si>
  <si>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恭</t>
    </r>
    <r>
      <rPr>
        <sz val="11"/>
        <color theme="1"/>
        <rFont val="ＭＳ Ｐゴシック"/>
        <family val="3"/>
        <charset val="134"/>
        <scheme val="minor"/>
      </rPr>
      <t>齐鲁</t>
    </r>
  </si>
  <si>
    <r>
      <t>章</t>
    </r>
    <r>
      <rPr>
        <sz val="11"/>
        <color theme="1"/>
        <rFont val="ＭＳ Ｐゴシック"/>
        <family val="3"/>
        <charset val="134"/>
        <scheme val="minor"/>
      </rPr>
      <t>伟</t>
    </r>
    <r>
      <rPr>
        <sz val="11"/>
        <color theme="1"/>
        <rFont val="ＭＳ Ｐゴシック"/>
        <family val="3"/>
        <charset val="128"/>
        <scheme val="minor"/>
      </rPr>
      <t>荷</t>
    </r>
  </si>
  <si>
    <r>
      <t>白干酒（中国白酒）;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果酒; 汽酒; 米酒; 白酒; 葡萄酒; 佐餐酒;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</t>
    </r>
  </si>
  <si>
    <t>巧司</t>
  </si>
  <si>
    <t>合肥巧司生物科技有限公司</t>
  </si>
  <si>
    <r>
      <t xml:space="preserve">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汽酒; 食用酒精;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</si>
  <si>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令鹿呈祥</t>
  </si>
  <si>
    <r>
      <t>吉林省鹿金源酒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</si>
  <si>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黄酒; 白酒;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果酒（含酒精）; 葡萄酒; 露酒; 蒸煮提取物（利口酒和烈酒）</t>
    </r>
  </si>
  <si>
    <t>百利菀</t>
  </si>
  <si>
    <r>
      <t>蔡德</t>
    </r>
    <r>
      <rPr>
        <sz val="11"/>
        <color theme="1"/>
        <rFont val="ＭＳ Ｐゴシック"/>
        <family val="3"/>
        <charset val="129"/>
        <scheme val="minor"/>
      </rPr>
      <t>胜</t>
    </r>
  </si>
  <si>
    <r>
      <t>白酒; 果酒;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高粱酒; 米酒;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清酒</t>
    </r>
  </si>
  <si>
    <r>
      <t>卡拉</t>
    </r>
    <r>
      <rPr>
        <sz val="11"/>
        <color theme="1"/>
        <rFont val="ＭＳ Ｐゴシック"/>
        <family val="3"/>
        <charset val="134"/>
        <scheme val="minor"/>
      </rPr>
      <t>库</t>
    </r>
    <r>
      <rPr>
        <sz val="11"/>
        <color theme="1"/>
        <rFont val="ＭＳ Ｐゴシック"/>
        <family val="3"/>
        <charset val="128"/>
        <scheme val="minor"/>
      </rPr>
      <t>勒</t>
    </r>
  </si>
  <si>
    <t>刘晨</t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</si>
  <si>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米酒; 开胃酒; 利口酒; 白酒;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</si>
  <si>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VILLA COLLEMATTONI</t>
  </si>
  <si>
    <r>
      <t>朗姆酒; 烈酒; 伏特加酒; 清酒; 白酒; 威士忌; 米酒;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</si>
  <si>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TONGYUJIU</t>
  </si>
  <si>
    <r>
      <t xml:space="preserve">白葡萄酒;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白干酒（中国白酒）;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米酒;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米酒（泡盛酒）; 白酒</t>
    </r>
  </si>
  <si>
    <r>
      <t>各几</t>
    </r>
    <r>
      <rPr>
        <sz val="11"/>
        <color theme="1"/>
        <rFont val="ＭＳ Ｐゴシック"/>
        <family val="3"/>
        <charset val="134"/>
        <scheme val="minor"/>
      </rPr>
      <t>农</t>
    </r>
  </si>
  <si>
    <r>
      <t>北京臻</t>
    </r>
    <r>
      <rPr>
        <sz val="11"/>
        <color theme="1"/>
        <rFont val="ＭＳ Ｐゴシック"/>
        <family val="3"/>
        <charset val="134"/>
        <scheme val="minor"/>
      </rPr>
      <t>乐</t>
    </r>
    <r>
      <rPr>
        <sz val="11"/>
        <color theme="1"/>
        <rFont val="ＭＳ Ｐゴシック"/>
        <family val="3"/>
        <charset val="128"/>
        <scheme val="minor"/>
      </rPr>
      <t>网</t>
    </r>
    <r>
      <rPr>
        <sz val="11"/>
        <color theme="1"/>
        <rFont val="ＭＳ Ｐゴシック"/>
        <family val="3"/>
        <charset val="134"/>
        <scheme val="minor"/>
      </rPr>
      <t>络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</si>
  <si>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清酒（日本米酒）; 利口酒; 果酒（含酒精）; 葡萄酒; 黄酒; 白酒; 米酒</t>
    </r>
  </si>
  <si>
    <t>谏谯</t>
  </si>
  <si>
    <r>
      <t>亳州市擎</t>
    </r>
    <r>
      <rPr>
        <sz val="11"/>
        <color theme="1"/>
        <rFont val="ＭＳ Ｐゴシック"/>
        <family val="3"/>
        <charset val="134"/>
        <scheme val="minor"/>
      </rPr>
      <t>苍</t>
    </r>
    <r>
      <rPr>
        <sz val="11"/>
        <color theme="1"/>
        <rFont val="ＭＳ Ｐゴシック"/>
        <family val="3"/>
        <charset val="128"/>
        <scheme val="minor"/>
      </rPr>
      <t>信息科技有限公司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</si>
  <si>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威士忌; 青梅酒; 白酒;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果酒（含酒精）; 葡萄酒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</si>
  <si>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甜酒; 烈酒;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汽酒; 果酒（含酒精）; 葡萄酒; 清酒（日本米酒）</t>
    </r>
  </si>
  <si>
    <t>原本一五六二</t>
  </si>
  <si>
    <r>
      <t>广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原本生</t>
    </r>
    <r>
      <rPr>
        <sz val="11"/>
        <color theme="1"/>
        <rFont val="ＭＳ Ｐゴシック"/>
        <family val="3"/>
        <charset val="134"/>
        <scheme val="minor"/>
      </rPr>
      <t>态农业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</si>
  <si>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五加皮酒（中国混合烈酒）; 黄酒;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白干酒（中国白酒）</t>
    </r>
  </si>
  <si>
    <t>南洲太古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</si>
  <si>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青稞酒; 果酒（含酒精）; 米酒;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葡萄酒;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</t>
    </r>
  </si>
  <si>
    <r>
      <t>瀛涯珍</t>
    </r>
    <r>
      <rPr>
        <sz val="11"/>
        <color theme="1"/>
        <rFont val="ＭＳ Ｐゴシック"/>
        <family val="3"/>
        <charset val="134"/>
        <scheme val="minor"/>
      </rPr>
      <t>酿</t>
    </r>
  </si>
  <si>
    <r>
      <t>广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晟瀛供</t>
    </r>
    <r>
      <rPr>
        <sz val="11"/>
        <color theme="1"/>
        <rFont val="ＭＳ Ｐゴシック"/>
        <family val="3"/>
        <charset val="134"/>
        <scheme val="minor"/>
      </rPr>
      <t>应链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</si>
  <si>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 xml:space="preserve">茴香酒（利口酒）; 苦味酒; 开胃酒; 果酒（含酒精）; 薄荷酒; </t>
    </r>
    <r>
      <rPr>
        <sz val="11"/>
        <color theme="1"/>
        <rFont val="ＭＳ Ｐゴシック"/>
        <family val="3"/>
        <charset val="134"/>
        <scheme val="minor"/>
      </rPr>
      <t>亚</t>
    </r>
    <r>
      <rPr>
        <sz val="11"/>
        <color theme="1"/>
        <rFont val="ＭＳ Ｐゴシック"/>
        <family val="3"/>
        <charset val="128"/>
        <scheme val="minor"/>
      </rPr>
      <t>力酒; 茴芹酒（利口酒）</t>
    </r>
  </si>
  <si>
    <r>
      <t>康</t>
    </r>
    <r>
      <rPr>
        <sz val="11"/>
        <color theme="1"/>
        <rFont val="ＭＳ Ｐゴシック"/>
        <family val="3"/>
        <charset val="134"/>
        <scheme val="minor"/>
      </rPr>
      <t>锦润</t>
    </r>
  </si>
  <si>
    <r>
      <t>吕</t>
    </r>
    <r>
      <rPr>
        <sz val="11"/>
        <color theme="1"/>
        <rFont val="ＭＳ Ｐゴシック"/>
        <family val="3"/>
        <charset val="128"/>
        <scheme val="minor"/>
      </rPr>
      <t>碧英</t>
    </r>
  </si>
  <si>
    <r>
      <t>清酒（日本米酒）;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高粱酒;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梅酒; 开胃酒; 果酒（含酒精）; 黄酒; 米酒</t>
    </r>
  </si>
  <si>
    <r>
      <t>老</t>
    </r>
    <r>
      <rPr>
        <sz val="11"/>
        <color theme="1"/>
        <rFont val="ＭＳ Ｐゴシック"/>
        <family val="3"/>
        <charset val="134"/>
        <scheme val="minor"/>
      </rPr>
      <t>赞</t>
    </r>
    <r>
      <rPr>
        <sz val="11"/>
        <color theme="1"/>
        <rFont val="ＭＳ Ｐゴシック"/>
        <family val="3"/>
        <charset val="128"/>
        <scheme val="minor"/>
      </rPr>
      <t>号</t>
    </r>
  </si>
  <si>
    <t>丁延杰</t>
  </si>
  <si>
    <r>
      <t xml:space="preserve">果酒（含酒精）; 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威士忌; 葡萄酒</t>
    </r>
  </si>
  <si>
    <r>
      <t>粮</t>
    </r>
    <r>
      <rPr>
        <sz val="11"/>
        <color theme="1"/>
        <rFont val="ＭＳ Ｐゴシック"/>
        <family val="3"/>
        <charset val="134"/>
        <scheme val="minor"/>
      </rPr>
      <t>贵</t>
    </r>
    <r>
      <rPr>
        <sz val="11"/>
        <color theme="1"/>
        <rFont val="ＭＳ Ｐゴシック"/>
        <family val="3"/>
        <charset val="128"/>
        <scheme val="minor"/>
      </rPr>
      <t>人</t>
    </r>
  </si>
  <si>
    <r>
      <t xml:space="preserve">利口酒;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果酒（含酒精）; 餐后酒（利口酒和烈酒）; 米酒; 黄酒; 白酒</t>
    </r>
  </si>
  <si>
    <r>
      <t>越</t>
    </r>
    <r>
      <rPr>
        <sz val="11"/>
        <color theme="1"/>
        <rFont val="ＭＳ Ｐゴシック"/>
        <family val="3"/>
        <charset val="134"/>
        <scheme val="minor"/>
      </rPr>
      <t>遗</t>
    </r>
    <r>
      <rPr>
        <sz val="11"/>
        <color theme="1"/>
        <rFont val="ＭＳ Ｐゴシック"/>
        <family val="3"/>
        <charset val="128"/>
        <scheme val="minor"/>
      </rPr>
      <t>好物</t>
    </r>
  </si>
  <si>
    <r>
      <t>绍兴</t>
    </r>
    <r>
      <rPr>
        <sz val="11"/>
        <color theme="1"/>
        <rFont val="ＭＳ Ｐゴシック"/>
        <family val="3"/>
        <charset val="128"/>
        <scheme val="minor"/>
      </rPr>
      <t>市启程</t>
    </r>
    <r>
      <rPr>
        <sz val="11"/>
        <color theme="1"/>
        <rFont val="ＭＳ Ｐゴシック"/>
        <family val="3"/>
        <charset val="134"/>
        <scheme val="minor"/>
      </rPr>
      <t>创</t>
    </r>
    <r>
      <rPr>
        <sz val="11"/>
        <color theme="1"/>
        <rFont val="ＭＳ Ｐゴシック"/>
        <family val="3"/>
        <charset val="128"/>
        <scheme val="minor"/>
      </rPr>
      <t>想文化</t>
    </r>
    <r>
      <rPr>
        <sz val="11"/>
        <color theme="1"/>
        <rFont val="ＭＳ Ｐゴシック"/>
        <family val="3"/>
        <charset val="134"/>
        <scheme val="minor"/>
      </rPr>
      <t>创</t>
    </r>
    <r>
      <rPr>
        <sz val="11"/>
        <color theme="1"/>
        <rFont val="ＭＳ Ｐゴシック"/>
        <family val="3"/>
        <charset val="128"/>
        <scheme val="minor"/>
      </rPr>
      <t>意有限公司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</si>
  <si>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水果汽酒;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葡萄酒; 含酒精的充气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含酒精的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尾酒混合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品; 果酒（含酒精）; 黄酒</t>
    </r>
  </si>
  <si>
    <r>
      <t>奇点</t>
    </r>
    <r>
      <rPr>
        <sz val="11"/>
        <color theme="1"/>
        <rFont val="ＭＳ Ｐゴシック"/>
        <family val="3"/>
        <charset val="134"/>
        <scheme val="minor"/>
      </rPr>
      <t>临</t>
    </r>
    <r>
      <rPr>
        <sz val="11"/>
        <color theme="1"/>
        <rFont val="ＭＳ Ｐゴシック"/>
        <family val="3"/>
        <charset val="128"/>
        <scheme val="minor"/>
      </rPr>
      <t>近</t>
    </r>
  </si>
  <si>
    <r>
      <t>北京大医精研医</t>
    </r>
    <r>
      <rPr>
        <sz val="11"/>
        <color theme="1"/>
        <rFont val="ＭＳ Ｐゴシック"/>
        <family val="3"/>
        <charset val="134"/>
        <scheme val="minor"/>
      </rPr>
      <t>药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</si>
  <si>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米酒; 苹果酒; 蜂蜜酒;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清酒（日本米酒）;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果酒（含酒精）;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</si>
  <si>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r>
      <t>食丞</t>
    </r>
    <r>
      <rPr>
        <sz val="11"/>
        <color theme="1"/>
        <rFont val="ＭＳ Ｐゴシック"/>
        <family val="3"/>
        <charset val="134"/>
        <scheme val="minor"/>
      </rPr>
      <t>农选</t>
    </r>
  </si>
  <si>
    <t>刘平近</t>
  </si>
  <si>
    <r>
      <t xml:space="preserve">白酒; 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清酒（日本米酒）;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</t>
    </r>
  </si>
  <si>
    <t>田本川</t>
  </si>
  <si>
    <t>陈刚</t>
  </si>
  <si>
    <r>
      <t>伏特加酒; 果酒（含酒精）; 朗姆酒; 米酒; 利口酒;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葡萄酒; 烈酒; 白酒</t>
    </r>
  </si>
  <si>
    <t>散花地利</t>
  </si>
  <si>
    <r>
      <t>葡萄酒; 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白干酒（中国白酒）;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果酒; 烈酒; 高粱酒; 清酒</t>
    </r>
  </si>
  <si>
    <r>
      <t>百</t>
    </r>
    <r>
      <rPr>
        <sz val="11"/>
        <color theme="1"/>
        <rFont val="ＭＳ Ｐゴシック"/>
        <family val="3"/>
        <charset val="134"/>
        <scheme val="minor"/>
      </rPr>
      <t>择</t>
    </r>
    <r>
      <rPr>
        <sz val="11"/>
        <color theme="1"/>
        <rFont val="ＭＳ Ｐゴシック"/>
        <family val="3"/>
        <charset val="128"/>
        <scheme val="minor"/>
      </rPr>
      <t>唯</t>
    </r>
  </si>
  <si>
    <r>
      <t>百</t>
    </r>
    <r>
      <rPr>
        <sz val="11"/>
        <color theme="1"/>
        <rFont val="ＭＳ Ｐゴシック"/>
        <family val="3"/>
        <charset val="134"/>
        <scheme val="minor"/>
      </rPr>
      <t>择</t>
    </r>
    <r>
      <rPr>
        <sz val="11"/>
        <color theme="1"/>
        <rFont val="ＭＳ Ｐゴシック"/>
        <family val="3"/>
        <charset val="128"/>
        <scheme val="minor"/>
      </rPr>
      <t>唯（上海）</t>
    </r>
    <r>
      <rPr>
        <sz val="11"/>
        <color theme="1"/>
        <rFont val="ＭＳ Ｐゴシック"/>
        <family val="3"/>
        <charset val="134"/>
        <scheme val="minor"/>
      </rPr>
      <t>电</t>
    </r>
    <r>
      <rPr>
        <sz val="11"/>
        <color theme="1"/>
        <rFont val="ＭＳ Ｐゴシック"/>
        <family val="3"/>
        <charset val="128"/>
        <scheme val="minor"/>
      </rPr>
      <t>子商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</si>
  <si>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清酒（日本米酒）;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朗姆酒; 黄酒; 白酒; 薄荷酒; </t>
    </r>
    <r>
      <rPr>
        <sz val="11"/>
        <color theme="1"/>
        <rFont val="ＭＳ Ｐゴシック"/>
        <family val="3"/>
        <charset val="134"/>
        <scheme val="minor"/>
      </rPr>
      <t>亚</t>
    </r>
    <r>
      <rPr>
        <sz val="11"/>
        <color theme="1"/>
        <rFont val="ＭＳ Ｐゴシック"/>
        <family val="3"/>
        <charset val="128"/>
        <scheme val="minor"/>
      </rPr>
      <t>力酒; 葡萄酒</t>
    </r>
  </si>
  <si>
    <t>洛酩仙</t>
  </si>
  <si>
    <r>
      <t>曾昭</t>
    </r>
    <r>
      <rPr>
        <sz val="11"/>
        <color theme="1"/>
        <rFont val="ＭＳ Ｐゴシック"/>
        <family val="3"/>
        <charset val="134"/>
        <scheme val="minor"/>
      </rPr>
      <t>骏</t>
    </r>
  </si>
  <si>
    <r>
      <t xml:space="preserve">开胃酒; 果酒（含酒精）; 黄酒; 烈酒; 白酒; 葡萄酒; 清酒（日本米酒）;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</si>
  <si>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听听姐甄</t>
    </r>
    <r>
      <rPr>
        <sz val="11"/>
        <color theme="1"/>
        <rFont val="ＭＳ Ｐゴシック"/>
        <family val="3"/>
        <charset val="134"/>
        <scheme val="minor"/>
      </rPr>
      <t>选</t>
    </r>
  </si>
  <si>
    <r>
      <t>杭州彦少企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</si>
  <si>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 xml:space="preserve">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米酒;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伏特加酒; 果酒（含酒精）;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</si>
  <si>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圳</t>
    </r>
    <r>
      <rPr>
        <sz val="11"/>
        <color theme="1"/>
        <rFont val="ＭＳ Ｐゴシック"/>
        <family val="3"/>
        <charset val="134"/>
        <scheme val="minor"/>
      </rPr>
      <t>风</t>
    </r>
  </si>
  <si>
    <r>
      <t>深圳市三和</t>
    </r>
    <r>
      <rPr>
        <sz val="11"/>
        <color theme="1"/>
        <rFont val="ＭＳ Ｐゴシック"/>
        <family val="3"/>
        <charset val="134"/>
        <scheme val="minor"/>
      </rPr>
      <t>实业发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</si>
  <si>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 xml:space="preserve">米酒; 清酒; 高粱酒;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开胃酒; 果酒; 白酒; 葡萄酒; 白干酒（中国白酒）</t>
    </r>
  </si>
  <si>
    <r>
      <t>当</t>
    </r>
    <r>
      <rPr>
        <sz val="11"/>
        <color theme="1"/>
        <rFont val="ＭＳ Ｐゴシック"/>
        <family val="3"/>
        <charset val="134"/>
        <scheme val="minor"/>
      </rPr>
      <t>联</t>
    </r>
    <r>
      <rPr>
        <sz val="11"/>
        <color theme="1"/>
        <rFont val="ＭＳ Ｐゴシック"/>
        <family val="3"/>
        <charset val="128"/>
        <scheme val="minor"/>
      </rPr>
      <t>天下</t>
    </r>
  </si>
  <si>
    <r>
      <t>海南</t>
    </r>
    <r>
      <rPr>
        <sz val="11"/>
        <color theme="1"/>
        <rFont val="ＭＳ Ｐゴシック"/>
        <family val="3"/>
        <charset val="134"/>
        <scheme val="minor"/>
      </rPr>
      <t>鲁</t>
    </r>
    <r>
      <rPr>
        <sz val="11"/>
        <color theme="1"/>
        <rFont val="ＭＳ Ｐゴシック"/>
        <family val="3"/>
        <charset val="129"/>
        <scheme val="minor"/>
      </rPr>
      <t>优</t>
    </r>
    <r>
      <rPr>
        <sz val="11"/>
        <color theme="1"/>
        <rFont val="ＭＳ Ｐゴシック"/>
        <family val="3"/>
        <charset val="134"/>
        <scheme val="minor"/>
      </rPr>
      <t>汉</t>
    </r>
    <r>
      <rPr>
        <sz val="11"/>
        <color theme="1"/>
        <rFont val="ＭＳ Ｐゴシック"/>
        <family val="3"/>
        <charset val="128"/>
        <scheme val="minor"/>
      </rPr>
      <t>恒</t>
    </r>
    <r>
      <rPr>
        <sz val="11"/>
        <color theme="1"/>
        <rFont val="ＭＳ Ｐゴシック"/>
        <family val="3"/>
        <charset val="134"/>
        <scheme val="minor"/>
      </rPr>
      <t>实业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</si>
  <si>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餐后酒（利口酒和烈酒）; 黄酒; 米酒;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薄荷酒;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</t>
    </r>
  </si>
  <si>
    <t>ERDOS</t>
  </si>
  <si>
    <r>
      <t>内蒙古鄂</t>
    </r>
    <r>
      <rPr>
        <sz val="11"/>
        <color theme="1"/>
        <rFont val="ＭＳ Ｐゴシック"/>
        <family val="3"/>
        <charset val="134"/>
        <scheme val="minor"/>
      </rPr>
      <t>尔</t>
    </r>
    <r>
      <rPr>
        <sz val="11"/>
        <color theme="1"/>
        <rFont val="ＭＳ Ｐゴシック"/>
        <family val="3"/>
        <charset val="128"/>
        <scheme val="minor"/>
      </rPr>
      <t>多斯投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控股集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</si>
  <si>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开胃酒; 葡萄酒; 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清酒</t>
    </r>
  </si>
  <si>
    <t>梵留芳</t>
  </si>
  <si>
    <r>
      <t>武</t>
    </r>
    <r>
      <rPr>
        <sz val="11"/>
        <color theme="1"/>
        <rFont val="ＭＳ Ｐゴシック"/>
        <family val="3"/>
        <charset val="134"/>
        <scheme val="minor"/>
      </rPr>
      <t>汉</t>
    </r>
    <r>
      <rPr>
        <sz val="11"/>
        <color theme="1"/>
        <rFont val="ＭＳ Ｐゴシック"/>
        <family val="3"/>
        <charset val="128"/>
        <scheme val="minor"/>
      </rPr>
      <t>七上商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</si>
  <si>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食用酒精; 白酒;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葡萄酒; 白干酒（中国白酒）; 黄酒;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</si>
  <si>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FCOCO</t>
  </si>
  <si>
    <r>
      <t>番之良品（广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）供</t>
    </r>
    <r>
      <rPr>
        <sz val="11"/>
        <color theme="1"/>
        <rFont val="ＭＳ Ｐゴシック"/>
        <family val="3"/>
        <charset val="134"/>
        <scheme val="minor"/>
      </rPr>
      <t>应链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</si>
  <si>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 xml:space="preserve">白酒;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苹果酒; 青稞酒; 威士忌; 果酒;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米酒</t>
    </r>
  </si>
  <si>
    <t>平舒 PS</t>
  </si>
  <si>
    <r>
      <t>大城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喜</t>
    </r>
    <r>
      <rPr>
        <sz val="11"/>
        <color theme="1"/>
        <rFont val="ＭＳ Ｐゴシック"/>
        <family val="3"/>
        <charset val="134"/>
        <scheme val="minor"/>
      </rPr>
      <t>乐</t>
    </r>
    <r>
      <rPr>
        <sz val="11"/>
        <color theme="1"/>
        <rFont val="ＭＳ Ｐゴシック"/>
        <family val="3"/>
        <charset val="128"/>
        <scheme val="minor"/>
      </rPr>
      <t>生物科技有限公司</t>
    </r>
  </si>
  <si>
    <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餐后酒（利口酒和烈酒）;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米酒; 黄酒; 青稞酒; 白干酒（中国白酒）</t>
    </r>
  </si>
  <si>
    <r>
      <t>齐</t>
    </r>
    <r>
      <rPr>
        <sz val="11"/>
        <color theme="1"/>
        <rFont val="ＭＳ Ｐゴシック"/>
        <family val="3"/>
        <charset val="128"/>
        <scheme val="minor"/>
      </rPr>
      <t>来</t>
    </r>
    <r>
      <rPr>
        <sz val="11"/>
        <color theme="1"/>
        <rFont val="ＭＳ Ｐゴシック"/>
        <family val="3"/>
        <charset val="134"/>
        <scheme val="minor"/>
      </rPr>
      <t>贺</t>
    </r>
  </si>
  <si>
    <r>
      <t>齐</t>
    </r>
    <r>
      <rPr>
        <sz val="11"/>
        <color theme="1"/>
        <rFont val="ＭＳ Ｐゴシック"/>
        <family val="3"/>
        <charset val="128"/>
        <scheme val="minor"/>
      </rPr>
      <t>心关</t>
    </r>
    <r>
      <rPr>
        <sz val="11"/>
        <color theme="1"/>
        <rFont val="ＭＳ Ｐゴシック"/>
        <family val="3"/>
        <charset val="134"/>
        <scheme val="minor"/>
      </rPr>
      <t>爱</t>
    </r>
    <r>
      <rPr>
        <sz val="11"/>
        <color theme="1"/>
        <rFont val="ＭＳ Ｐゴシック"/>
        <family val="3"/>
        <charset val="128"/>
        <scheme val="minor"/>
      </rPr>
      <t>教育科技（北京）集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</si>
  <si>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威士忌;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黄酒; 葡萄酒</t>
    </r>
  </si>
  <si>
    <r>
      <t>源</t>
    </r>
    <r>
      <rPr>
        <sz val="11"/>
        <color theme="1"/>
        <rFont val="ＭＳ Ｐゴシック"/>
        <family val="3"/>
        <charset val="134"/>
        <scheme val="minor"/>
      </rPr>
      <t>饪</t>
    </r>
  </si>
  <si>
    <r>
      <t>成都</t>
    </r>
    <r>
      <rPr>
        <sz val="11"/>
        <color theme="1"/>
        <rFont val="ＭＳ Ｐゴシック"/>
        <family val="3"/>
        <charset val="134"/>
        <scheme val="minor"/>
      </rPr>
      <t>兴</t>
    </r>
    <r>
      <rPr>
        <sz val="11"/>
        <color theme="1"/>
        <rFont val="ＭＳ Ｐゴシック"/>
        <family val="3"/>
        <charset val="128"/>
        <scheme val="minor"/>
      </rPr>
      <t>隆生</t>
    </r>
    <r>
      <rPr>
        <sz val="11"/>
        <color theme="1"/>
        <rFont val="ＭＳ Ｐゴシック"/>
        <family val="3"/>
        <charset val="134"/>
        <scheme val="minor"/>
      </rPr>
      <t>态观</t>
    </r>
    <r>
      <rPr>
        <sz val="11"/>
        <color theme="1"/>
        <rFont val="ＭＳ Ｐゴシック"/>
        <family val="3"/>
        <charset val="128"/>
        <scheme val="minor"/>
      </rPr>
      <t>光开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</si>
  <si>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米酒; 苹果酒; 果酒（含酒精）; 白酒; 青稞酒;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</si>
  <si>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福州市</t>
    </r>
    <r>
      <rPr>
        <sz val="11"/>
        <color theme="1"/>
        <rFont val="ＭＳ Ｐゴシック"/>
        <family val="3"/>
        <charset val="134"/>
        <scheme val="minor"/>
      </rPr>
      <t>农垦</t>
    </r>
    <r>
      <rPr>
        <sz val="11"/>
        <color theme="1"/>
        <rFont val="ＭＳ Ｐゴシック"/>
        <family val="3"/>
        <charset val="128"/>
        <scheme val="minor"/>
      </rPr>
      <t>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</si>
  <si>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 xml:space="preserve">果酒（含酒精）; 葡萄酒; 米酒; 苹果酒; 白酒; 黄酒; 蜂蜜酒;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</si>
  <si>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里</t>
    </r>
    <r>
      <rPr>
        <sz val="11"/>
        <color theme="1"/>
        <rFont val="ＭＳ Ｐゴシック"/>
        <family val="3"/>
        <charset val="134"/>
        <scheme val="minor"/>
      </rPr>
      <t>头</t>
    </r>
    <r>
      <rPr>
        <sz val="11"/>
        <color theme="1"/>
        <rFont val="ＭＳ Ｐゴシック"/>
        <family val="3"/>
        <charset val="128"/>
        <scheme val="minor"/>
      </rPr>
      <t>河</t>
    </r>
  </si>
  <si>
    <t>冉启杰</t>
  </si>
  <si>
    <r>
      <t>白酒; 米酒;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高粱酒; 苹果酒; 麦芽威士忌; 梨酒;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>酒; 甜酒; 果酒（含酒精）</t>
    </r>
  </si>
  <si>
    <t>百星槽坊</t>
  </si>
  <si>
    <r>
      <t>张</t>
    </r>
    <r>
      <rPr>
        <sz val="11"/>
        <color theme="1"/>
        <rFont val="ＭＳ Ｐゴシック"/>
        <family val="3"/>
        <charset val="128"/>
        <scheme val="minor"/>
      </rPr>
      <t>月</t>
    </r>
    <r>
      <rPr>
        <sz val="11"/>
        <color theme="1"/>
        <rFont val="ＭＳ Ｐゴシック"/>
        <family val="3"/>
        <charset val="134"/>
        <scheme val="minor"/>
      </rPr>
      <t>华</t>
    </r>
  </si>
  <si>
    <r>
      <t xml:space="preserve">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开胃酒; 白酒; 米酒;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利口酒; 黄酒</t>
    </r>
  </si>
  <si>
    <r>
      <t>深圳沐森国</t>
    </r>
    <r>
      <rPr>
        <sz val="11"/>
        <color theme="1"/>
        <rFont val="ＭＳ Ｐゴシック"/>
        <family val="3"/>
        <charset val="134"/>
        <scheme val="minor"/>
      </rPr>
      <t>际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</si>
  <si>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白酒;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清酒（日本米酒）;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</si>
  <si>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清花</t>
    </r>
    <r>
      <rPr>
        <sz val="11"/>
        <color theme="1"/>
        <rFont val="ＭＳ Ｐゴシック"/>
        <family val="3"/>
        <charset val="134"/>
        <scheme val="minor"/>
      </rPr>
      <t>涣</t>
    </r>
  </si>
  <si>
    <r>
      <t>河南沿太行酒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</si>
  <si>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利口酒; 黄酒;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开胃酒</t>
    </r>
  </si>
  <si>
    <t>月照山峰</t>
  </si>
  <si>
    <r>
      <t>郑</t>
    </r>
    <r>
      <rPr>
        <sz val="11"/>
        <color theme="1"/>
        <rFont val="ＭＳ Ｐゴシック"/>
        <family val="3"/>
        <charset val="128"/>
        <scheme val="minor"/>
      </rPr>
      <t>起</t>
    </r>
    <r>
      <rPr>
        <sz val="11"/>
        <color theme="1"/>
        <rFont val="ＭＳ Ｐゴシック"/>
        <family val="3"/>
        <charset val="134"/>
        <scheme val="minor"/>
      </rPr>
      <t>鹏</t>
    </r>
  </si>
  <si>
    <r>
      <t>黄酒;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清酒（日本米酒）;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米酒</t>
    </r>
  </si>
  <si>
    <r>
      <t>里嘉</t>
    </r>
    <r>
      <rPr>
        <sz val="11"/>
        <color theme="1"/>
        <rFont val="ＭＳ Ｐゴシック"/>
        <family val="3"/>
        <charset val="134"/>
        <scheme val="minor"/>
      </rPr>
      <t>图</t>
    </r>
    <r>
      <rPr>
        <sz val="11"/>
        <color theme="1"/>
        <rFont val="ＭＳ Ｐゴシック"/>
        <family val="3"/>
        <charset val="128"/>
        <scheme val="minor"/>
      </rPr>
      <t>酒庄</t>
    </r>
  </si>
  <si>
    <t>刘江涛</t>
  </si>
  <si>
    <r>
      <t>不起泡葡萄酒;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桃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</t>
    </r>
  </si>
  <si>
    <r>
      <t>狼山</t>
    </r>
    <r>
      <rPr>
        <sz val="11"/>
        <color theme="1"/>
        <rFont val="ＭＳ Ｐゴシック"/>
        <family val="3"/>
        <charset val="134"/>
        <scheme val="minor"/>
      </rPr>
      <t>长</t>
    </r>
    <r>
      <rPr>
        <sz val="11"/>
        <color theme="1"/>
        <rFont val="ＭＳ Ｐゴシック"/>
        <family val="3"/>
        <charset val="128"/>
        <scheme val="minor"/>
      </rPr>
      <t>烟</t>
    </r>
  </si>
  <si>
    <r>
      <t>内蒙古</t>
    </r>
    <r>
      <rPr>
        <sz val="11"/>
        <color theme="1"/>
        <rFont val="ＭＳ Ｐゴシック"/>
        <family val="3"/>
        <charset val="134"/>
        <scheme val="minor"/>
      </rPr>
      <t>邬</t>
    </r>
    <r>
      <rPr>
        <sz val="11"/>
        <color theme="1"/>
        <rFont val="ＭＳ Ｐゴシック"/>
        <family val="3"/>
        <charset val="128"/>
        <scheme val="minor"/>
      </rPr>
      <t>金旅游开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</si>
  <si>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葡萄酒; 白酒; 黄酒; 高粱酒;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甜酒;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</si>
  <si>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银郑</t>
    </r>
    <r>
      <rPr>
        <sz val="11"/>
        <color theme="1"/>
        <rFont val="ＭＳ Ｐゴシック"/>
        <family val="3"/>
        <charset val="128"/>
        <scheme val="minor"/>
      </rPr>
      <t>煌</t>
    </r>
  </si>
  <si>
    <r>
      <t>果酒（含酒精）; 黄酒; 餐后酒（利口酒和烈酒）; 葡萄酒; 青稞酒;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苦味酒;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</si>
  <si>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西塞雪</t>
  </si>
  <si>
    <r>
      <t>米酒; 果酒（含酒精）;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</si>
  <si>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白鹿</t>
    </r>
    <r>
      <rPr>
        <sz val="11"/>
        <color theme="1"/>
        <rFont val="ＭＳ Ｐゴシック"/>
        <family val="3"/>
        <charset val="134"/>
        <scheme val="minor"/>
      </rPr>
      <t>鸣</t>
    </r>
  </si>
  <si>
    <r>
      <t>孙</t>
    </r>
    <r>
      <rPr>
        <sz val="11"/>
        <color theme="1"/>
        <rFont val="ＭＳ Ｐゴシック"/>
        <family val="3"/>
        <charset val="128"/>
        <scheme val="minor"/>
      </rPr>
      <t>浩瀚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</si>
  <si>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米酒; 苹果酒;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</si>
  <si>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邺</t>
    </r>
    <r>
      <rPr>
        <sz val="11"/>
        <color theme="1"/>
        <rFont val="ＭＳ Ｐゴシック"/>
        <family val="3"/>
        <charset val="128"/>
        <scheme val="minor"/>
      </rPr>
      <t>都君</t>
    </r>
    <r>
      <rPr>
        <sz val="11"/>
        <color theme="1"/>
        <rFont val="ＭＳ Ｐゴシック"/>
        <family val="3"/>
        <charset val="134"/>
        <scheme val="minor"/>
      </rPr>
      <t>鉴</t>
    </r>
  </si>
  <si>
    <r>
      <t>河北衡漳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</si>
  <si>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米酒; 清酒;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白酒; 葡萄酒; 开胃酒; 果酒（含酒精）</t>
    </r>
  </si>
  <si>
    <t>ZHONGYINGWEILAI! CJZYWL</t>
  </si>
  <si>
    <r>
      <t>天津市中</t>
    </r>
    <r>
      <rPr>
        <sz val="11"/>
        <color theme="1"/>
        <rFont val="ＭＳ Ｐゴシック"/>
        <family val="3"/>
        <charset val="134"/>
        <scheme val="minor"/>
      </rPr>
      <t>莹</t>
    </r>
    <r>
      <rPr>
        <sz val="11"/>
        <color theme="1"/>
        <rFont val="ＭＳ Ｐゴシック"/>
        <family val="3"/>
        <charset val="128"/>
        <scheme val="minor"/>
      </rPr>
      <t>未来文化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播有限公司</t>
    </r>
  </si>
  <si>
    <r>
      <t xml:space="preserve">烈酒;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清酒（日本米酒）; 黄酒; 葡萄酒; 开胃酒; 威士忌</t>
    </r>
  </si>
  <si>
    <t>情北</t>
  </si>
  <si>
    <r>
      <t>凯</t>
    </r>
    <r>
      <rPr>
        <sz val="11"/>
        <color theme="1"/>
        <rFont val="ＭＳ Ｐゴシック"/>
        <family val="3"/>
        <charset val="128"/>
        <scheme val="minor"/>
      </rPr>
      <t>里喜愙餐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服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中心（个体工商</t>
    </r>
    <r>
      <rPr>
        <sz val="11"/>
        <color theme="1"/>
        <rFont val="ＭＳ Ｐゴシック"/>
        <family val="3"/>
        <charset val="134"/>
        <scheme val="minor"/>
      </rPr>
      <t>户</t>
    </r>
    <r>
      <rPr>
        <sz val="11"/>
        <color theme="1"/>
        <rFont val="ＭＳ Ｐゴシック"/>
        <family val="3"/>
        <charset val="128"/>
        <scheme val="minor"/>
      </rPr>
      <t>）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</si>
  <si>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青稞酒;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黄酒; 白酒; 餐后酒（利口酒和烈酒）;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果酒（含酒精）</t>
    </r>
  </si>
  <si>
    <r>
      <t>财满</t>
    </r>
    <r>
      <rPr>
        <sz val="11"/>
        <color theme="1"/>
        <rFont val="ＭＳ Ｐゴシック"/>
        <family val="3"/>
        <charset val="128"/>
        <scheme val="minor"/>
      </rPr>
      <t>千秋</t>
    </r>
  </si>
  <si>
    <r>
      <t>烈酒;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高粱酒; 白干酒（中国白酒）; 米酒;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清酒（日本米酒）; 葡萄酒</t>
    </r>
  </si>
  <si>
    <t>玉婀娜</t>
  </si>
  <si>
    <r>
      <t>广西</t>
    </r>
    <r>
      <rPr>
        <sz val="11"/>
        <color theme="1"/>
        <rFont val="ＭＳ Ｐゴシック"/>
        <family val="3"/>
        <charset val="134"/>
        <scheme val="minor"/>
      </rPr>
      <t>环</t>
    </r>
    <r>
      <rPr>
        <sz val="11"/>
        <color theme="1"/>
        <rFont val="ＭＳ Ｐゴシック"/>
        <family val="3"/>
        <charset val="128"/>
        <scheme val="minor"/>
      </rPr>
      <t>江</t>
    </r>
    <r>
      <rPr>
        <sz val="11"/>
        <color theme="1"/>
        <rFont val="ＭＳ Ｐゴシック"/>
        <family val="3"/>
        <charset val="134"/>
        <scheme val="minor"/>
      </rPr>
      <t>贵</t>
    </r>
    <r>
      <rPr>
        <sz val="11"/>
        <color theme="1"/>
        <rFont val="ＭＳ Ｐゴシック"/>
        <family val="3"/>
        <charset val="128"/>
        <scheme val="minor"/>
      </rPr>
      <t>康酒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</si>
  <si>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黄酒; 白酒; 清酒</t>
    </r>
  </si>
  <si>
    <r>
      <t>霞</t>
    </r>
    <r>
      <rPr>
        <sz val="11"/>
        <color theme="1"/>
        <rFont val="ＭＳ Ｐゴシック"/>
        <family val="3"/>
        <charset val="134"/>
        <scheme val="minor"/>
      </rPr>
      <t>贵</t>
    </r>
    <r>
      <rPr>
        <sz val="11"/>
        <color theme="1"/>
        <rFont val="ＭＳ Ｐゴシック"/>
        <family val="3"/>
        <charset val="128"/>
        <scheme val="minor"/>
      </rPr>
      <t>醇</t>
    </r>
  </si>
  <si>
    <r>
      <t>江阴市徐霞客霞</t>
    </r>
    <r>
      <rPr>
        <sz val="11"/>
        <color theme="1"/>
        <rFont val="ＭＳ Ｐゴシック"/>
        <family val="3"/>
        <charset val="134"/>
        <scheme val="minor"/>
      </rPr>
      <t>贵</t>
    </r>
    <r>
      <rPr>
        <sz val="11"/>
        <color theme="1"/>
        <rFont val="ＭＳ Ｐゴシック"/>
        <family val="3"/>
        <charset val="128"/>
        <scheme val="minor"/>
      </rPr>
      <t>堂文</t>
    </r>
    <r>
      <rPr>
        <sz val="11"/>
        <color theme="1"/>
        <rFont val="ＭＳ Ｐゴシック"/>
        <family val="3"/>
        <charset val="134"/>
        <scheme val="minor"/>
      </rPr>
      <t>创发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</si>
  <si>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 xml:space="preserve">果酒（含酒精）; 白酒; 米酒; 葡萄酒;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青稞酒;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食用酒精</t>
    </r>
  </si>
  <si>
    <r>
      <t>潇长</t>
    </r>
    <r>
      <rPr>
        <sz val="11"/>
        <color theme="1"/>
        <rFont val="ＭＳ Ｐゴシック"/>
        <family val="3"/>
        <charset val="128"/>
        <scheme val="minor"/>
      </rPr>
      <t>歌</t>
    </r>
  </si>
  <si>
    <r>
      <t xml:space="preserve">葡萄酒;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黄酒; 食用酒精; 白酒; 清酒;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</si>
  <si>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福</t>
    </r>
    <r>
      <rPr>
        <sz val="11"/>
        <color theme="1"/>
        <rFont val="ＭＳ Ｐゴシック"/>
        <family val="3"/>
        <charset val="134"/>
        <scheme val="minor"/>
      </rPr>
      <t>缘</t>
    </r>
    <r>
      <rPr>
        <sz val="11"/>
        <color theme="1"/>
        <rFont val="ＭＳ Ｐゴシック"/>
        <family val="3"/>
        <charset val="128"/>
        <scheme val="minor"/>
      </rPr>
      <t>呑花</t>
    </r>
  </si>
  <si>
    <r>
      <t>张</t>
    </r>
    <r>
      <rPr>
        <sz val="11"/>
        <color theme="1"/>
        <rFont val="ＭＳ Ｐゴシック"/>
        <family val="3"/>
        <charset val="128"/>
        <scheme val="minor"/>
      </rPr>
      <t>成</t>
    </r>
    <r>
      <rPr>
        <sz val="11"/>
        <color theme="1"/>
        <rFont val="ＭＳ Ｐゴシック"/>
        <family val="3"/>
        <charset val="134"/>
        <scheme val="minor"/>
      </rPr>
      <t>凤</t>
    </r>
  </si>
  <si>
    <r>
      <t xml:space="preserve">葡萄酒; 威士忌; 米酒; 青稞酒;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伏特加酒;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果酒（含酒精）</t>
    </r>
  </si>
  <si>
    <t>郝牧</t>
  </si>
  <si>
    <t>梁朝滔</t>
  </si>
  <si>
    <r>
      <t>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 xml:space="preserve">酒; 葡萄酒; 白干酒（中国白酒）; 白酒; 黄酒;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高粱酒</t>
    </r>
  </si>
  <si>
    <t>菲珂娜</t>
  </si>
  <si>
    <r>
      <t>烟台</t>
    </r>
    <r>
      <rPr>
        <sz val="11"/>
        <color theme="1"/>
        <rFont val="ＭＳ Ｐゴシック"/>
        <family val="3"/>
        <charset val="134"/>
        <scheme val="minor"/>
      </rPr>
      <t>纳</t>
    </r>
    <r>
      <rPr>
        <sz val="11"/>
        <color theme="1"/>
        <rFont val="ＭＳ Ｐゴシック"/>
        <family val="3"/>
        <charset val="128"/>
        <scheme val="minor"/>
      </rPr>
      <t>瑚商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</si>
  <si>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威士忌; 烈酒; 日式甜米酒;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蒸煮提取物（利口酒和烈酒）; 白酒; 含酒精的充气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水果汽酒</t>
    </r>
  </si>
  <si>
    <r>
      <t>晋</t>
    </r>
    <r>
      <rPr>
        <sz val="11"/>
        <color theme="1"/>
        <rFont val="ＭＳ Ｐゴシック"/>
        <family val="3"/>
        <charset val="134"/>
        <scheme val="minor"/>
      </rPr>
      <t>贵</t>
    </r>
    <r>
      <rPr>
        <sz val="11"/>
        <color theme="1"/>
        <rFont val="ＭＳ Ｐゴシック"/>
        <family val="3"/>
        <charset val="128"/>
        <scheme val="minor"/>
      </rPr>
      <t>妃</t>
    </r>
  </si>
  <si>
    <r>
      <t>邓红</t>
    </r>
    <r>
      <rPr>
        <sz val="11"/>
        <color theme="1"/>
        <rFont val="ＭＳ Ｐゴシック"/>
        <family val="3"/>
        <charset val="128"/>
        <scheme val="minor"/>
      </rPr>
      <t>霞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</si>
  <si>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威士忌</t>
    </r>
  </si>
  <si>
    <t>古壁玉泉</t>
  </si>
  <si>
    <r>
      <t>安徽省霍邱</t>
    </r>
    <r>
      <rPr>
        <sz val="11"/>
        <color theme="1"/>
        <rFont val="ＭＳ Ｐゴシック"/>
        <family val="3"/>
        <charset val="134"/>
        <scheme val="minor"/>
      </rPr>
      <t>县临</t>
    </r>
    <r>
      <rPr>
        <sz val="11"/>
        <color theme="1"/>
        <rFont val="ＭＳ Ｐゴシック"/>
        <family val="3"/>
        <charset val="128"/>
        <scheme val="minor"/>
      </rPr>
      <t>水</t>
    </r>
    <r>
      <rPr>
        <sz val="11"/>
        <color theme="1"/>
        <rFont val="ＭＳ Ｐゴシック"/>
        <family val="3"/>
        <charset val="134"/>
        <scheme val="minor"/>
      </rPr>
      <t>镇</t>
    </r>
    <r>
      <rPr>
        <sz val="11"/>
        <color theme="1"/>
        <rFont val="ＭＳ Ｐゴシック"/>
        <family val="3"/>
        <charset val="128"/>
        <scheme val="minor"/>
      </rPr>
      <t>玉泉酒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</si>
  <si>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利口酒;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清酒（日本米酒）; 葡萄酒;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威士忌; 果酒（含酒精）</t>
    </r>
  </si>
  <si>
    <t>瀚蒂</t>
  </si>
  <si>
    <t>泉州市瀚蒂新能源有限公司</t>
  </si>
  <si>
    <r>
      <t>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果酒;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黄酒; 白酒; 食用酒精;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白干酒（中国白酒）; 葡萄酒</t>
    </r>
  </si>
  <si>
    <t>文衷</t>
  </si>
  <si>
    <r>
      <t>湖北辰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科技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</si>
  <si>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食用酒精; 葡萄酒; 米酒; 黄酒;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</si>
  <si>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DONG CANG YUAN JIANG</t>
  </si>
  <si>
    <r>
      <t>郝</t>
    </r>
    <r>
      <rPr>
        <sz val="11"/>
        <color theme="1"/>
        <rFont val="ＭＳ Ｐゴシック"/>
        <family val="3"/>
        <charset val="134"/>
        <scheme val="minor"/>
      </rPr>
      <t>庆</t>
    </r>
  </si>
  <si>
    <r>
      <t xml:space="preserve">开胃酒;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青稞酒;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米酒</t>
    </r>
  </si>
  <si>
    <r>
      <t>乌</t>
    </r>
    <r>
      <rPr>
        <sz val="11"/>
        <color theme="1"/>
        <rFont val="ＭＳ Ｐゴシック"/>
        <family val="3"/>
        <charset val="128"/>
        <scheme val="minor"/>
      </rPr>
      <t>赫</t>
    </r>
    <r>
      <rPr>
        <sz val="11"/>
        <color theme="1"/>
        <rFont val="ＭＳ Ｐゴシック"/>
        <family val="3"/>
        <charset val="134"/>
        <scheme val="minor"/>
      </rPr>
      <t>苏</t>
    </r>
  </si>
  <si>
    <r>
      <t>黑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江省建三江</t>
    </r>
    <r>
      <rPr>
        <sz val="11"/>
        <color theme="1"/>
        <rFont val="ＭＳ Ｐゴシック"/>
        <family val="3"/>
        <charset val="134"/>
        <scheme val="minor"/>
      </rPr>
      <t>农垦</t>
    </r>
    <r>
      <rPr>
        <sz val="11"/>
        <color theme="1"/>
        <rFont val="ＭＳ Ｐゴシック"/>
        <family val="3"/>
        <charset val="128"/>
        <scheme val="minor"/>
      </rPr>
      <t>郭三酒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</si>
  <si>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利口酒; 白酒; 葡萄酒; 开胃酒;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梨酒; 米酒; 苦味酒;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</si>
  <si>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卷云光</t>
    </r>
    <r>
      <rPr>
        <sz val="11"/>
        <color theme="1"/>
        <rFont val="ＭＳ Ｐゴシック"/>
        <family val="3"/>
        <charset val="134"/>
        <scheme val="minor"/>
      </rPr>
      <t>环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</si>
  <si>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开胃酒; 汽酒; 葡萄酒; 清酒;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利口酒;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威士忌</t>
    </r>
  </si>
  <si>
    <r>
      <t>坝</t>
    </r>
    <r>
      <rPr>
        <sz val="11"/>
        <color theme="1"/>
        <rFont val="ＭＳ Ｐゴシック"/>
        <family val="3"/>
        <charset val="128"/>
        <scheme val="minor"/>
      </rPr>
      <t>稻</t>
    </r>
  </si>
  <si>
    <t>高士恩</t>
  </si>
  <si>
    <r>
      <t>白干酒（中国白酒）;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米酒;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含酒精的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尾酒混合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品; 青稞酒; 餐后酒（利口酒和烈酒）</t>
    </r>
  </si>
  <si>
    <t>西塞云</t>
  </si>
  <si>
    <r>
      <t>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米酒;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</t>
    </r>
  </si>
  <si>
    <r>
      <t>开胃酒; 伏特加酒; 黄酒;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青稞酒;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白酒; 葡萄酒</t>
    </r>
  </si>
  <si>
    <t>XIANHUCHUN</t>
  </si>
  <si>
    <r>
      <t>什邡市新</t>
    </r>
    <r>
      <rPr>
        <sz val="11"/>
        <color theme="1"/>
        <rFont val="ＭＳ Ｐゴシック"/>
        <family val="3"/>
        <charset val="134"/>
        <scheme val="minor"/>
      </rPr>
      <t>绿</t>
    </r>
    <r>
      <rPr>
        <sz val="11"/>
        <color theme="1"/>
        <rFont val="ＭＳ Ｐゴシック"/>
        <family val="3"/>
        <charset val="128"/>
        <scheme val="minor"/>
      </rPr>
      <t>邡酒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</si>
  <si>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茴芹酒（利口酒）;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白酒;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汽酒; 开胃酒;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</si>
  <si>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HAORIZI</t>
  </si>
  <si>
    <r>
      <t>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茴芹酒（利口酒）;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汽酒</t>
    </r>
  </si>
  <si>
    <t>PHANTOM DEER</t>
  </si>
  <si>
    <r>
      <t>张</t>
    </r>
    <r>
      <rPr>
        <sz val="11"/>
        <color theme="1"/>
        <rFont val="ＭＳ Ｐゴシック"/>
        <family val="3"/>
        <charset val="128"/>
        <scheme val="minor"/>
      </rPr>
      <t>詹姆七</t>
    </r>
  </si>
  <si>
    <r>
      <t xml:space="preserve">葡萄酒; 朗姆酒;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米酒; 白葡萄酒;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</si>
  <si>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姜妙</t>
  </si>
  <si>
    <r>
      <t>果酒（含酒精）; 葡萄酒; 黄酒;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米酒; 露酒;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</si>
  <si>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伯禹</t>
  </si>
  <si>
    <r>
      <t>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米酒;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白干酒（中国白酒）;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白葡萄酒;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米酒（泡盛酒）;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</si>
  <si>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柒捌久</t>
  </si>
  <si>
    <r>
      <t>深圳七八酒酒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</si>
  <si>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酒（烈酒）; 青稞酒;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威士忌; 清酒; 黄酒; 米酒; 白酒; 葡萄酒; 果酒</t>
    </r>
  </si>
  <si>
    <t>兄台</t>
  </si>
  <si>
    <r>
      <t>郑</t>
    </r>
    <r>
      <rPr>
        <sz val="11"/>
        <color theme="1"/>
        <rFont val="ＭＳ Ｐゴシック"/>
        <family val="3"/>
        <charset val="128"/>
        <scheme val="minor"/>
      </rPr>
      <t>州元通</t>
    </r>
    <r>
      <rPr>
        <sz val="11"/>
        <color theme="1"/>
        <rFont val="ＭＳ Ｐゴシック"/>
        <family val="3"/>
        <charset val="134"/>
        <scheme val="minor"/>
      </rPr>
      <t>进</t>
    </r>
    <r>
      <rPr>
        <sz val="11"/>
        <color theme="1"/>
        <rFont val="ＭＳ Ｐゴシック"/>
        <family val="3"/>
        <charset val="128"/>
        <scheme val="minor"/>
      </rPr>
      <t>出口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</si>
  <si>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黄酒; 清酒; 蒸煮提取物（利口酒和烈酒）;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利口酒</t>
    </r>
  </si>
  <si>
    <r>
      <t>灏</t>
    </r>
    <r>
      <rPr>
        <sz val="11"/>
        <color theme="1"/>
        <rFont val="ＭＳ Ｐゴシック"/>
        <family val="3"/>
        <charset val="128"/>
        <scheme val="minor"/>
      </rPr>
      <t>禾</t>
    </r>
  </si>
  <si>
    <r>
      <t>河南</t>
    </r>
    <r>
      <rPr>
        <sz val="11"/>
        <color theme="1"/>
        <rFont val="ＭＳ Ｐゴシック"/>
        <family val="3"/>
        <charset val="134"/>
        <scheme val="minor"/>
      </rPr>
      <t>灏</t>
    </r>
    <r>
      <rPr>
        <sz val="11"/>
        <color theme="1"/>
        <rFont val="ＭＳ Ｐゴシック"/>
        <family val="3"/>
        <charset val="128"/>
        <scheme val="minor"/>
      </rPr>
      <t>禾食品有限公司</t>
    </r>
  </si>
  <si>
    <r>
      <t>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青稞酒; 果酒（含酒精）; 米酒</t>
    </r>
  </si>
  <si>
    <r>
      <t>西塞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古</t>
    </r>
  </si>
  <si>
    <r>
      <t>米酒;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</t>
    </r>
  </si>
  <si>
    <t>XIBUMAHUA</t>
  </si>
  <si>
    <r>
      <t>北京西部</t>
    </r>
    <r>
      <rPr>
        <sz val="11"/>
        <color theme="1"/>
        <rFont val="ＭＳ Ｐゴシック"/>
        <family val="3"/>
        <charset val="134"/>
        <scheme val="minor"/>
      </rPr>
      <t>马华</t>
    </r>
    <r>
      <rPr>
        <sz val="11"/>
        <color theme="1"/>
        <rFont val="ＭＳ Ｐゴシック"/>
        <family val="3"/>
        <charset val="128"/>
        <scheme val="minor"/>
      </rPr>
      <t>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</si>
  <si>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果酒; 佐餐酒; 威士忌; 米酒; 烈酒;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</si>
  <si>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适下</t>
  </si>
  <si>
    <t>深圳市适下科技有限公司</t>
  </si>
  <si>
    <r>
      <t xml:space="preserve">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果酒（含酒精）; 伏特加酒; 朗姆酒;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</t>
    </r>
  </si>
  <si>
    <t>湘食晚</t>
  </si>
  <si>
    <r>
      <t>北京湘食晚餐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</si>
  <si>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t>葡萄酒; 白酒; 果酒（含酒精）; 高粱酒; 米酒; 青稞酒; 黄酒; 食用酒精; 清酒; 白干酒（中国白酒）</t>
  </si>
  <si>
    <t>茗季尊</t>
  </si>
  <si>
    <r>
      <t xml:space="preserve">果酒（含酒精）;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伏特加酒; 青稞酒;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</si>
  <si>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华</t>
    </r>
    <r>
      <rPr>
        <sz val="11"/>
        <color theme="1"/>
        <rFont val="ＭＳ Ｐゴシック"/>
        <family val="3"/>
        <charset val="128"/>
        <scheme val="minor"/>
      </rPr>
      <t>府.</t>
    </r>
    <r>
      <rPr>
        <sz val="11"/>
        <color theme="1"/>
        <rFont val="ＭＳ Ｐゴシック"/>
        <family val="3"/>
        <charset val="134"/>
        <scheme val="minor"/>
      </rPr>
      <t>锦</t>
    </r>
    <r>
      <rPr>
        <sz val="11"/>
        <color theme="1"/>
        <rFont val="ＭＳ Ｐゴシック"/>
        <family val="3"/>
        <charset val="128"/>
        <scheme val="minor"/>
      </rPr>
      <t>德香</t>
    </r>
  </si>
  <si>
    <r>
      <t>马</t>
    </r>
    <r>
      <rPr>
        <sz val="11"/>
        <color theme="1"/>
        <rFont val="ＭＳ Ｐゴシック"/>
        <family val="3"/>
        <charset val="128"/>
        <scheme val="minor"/>
      </rPr>
      <t>一代来四</t>
    </r>
  </si>
  <si>
    <r>
      <t>开胃酒;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果酒（含酒精）; 葡萄酒; 威士忌; 黄酒</t>
    </r>
  </si>
  <si>
    <t>逍遥至樽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</si>
  <si>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清酒;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葡萄酒;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</t>
    </r>
  </si>
  <si>
    <r>
      <t>西塞</t>
    </r>
    <r>
      <rPr>
        <sz val="11"/>
        <color theme="1"/>
        <rFont val="ＭＳ Ｐゴシック"/>
        <family val="3"/>
        <charset val="134"/>
        <scheme val="minor"/>
      </rPr>
      <t>驿</t>
    </r>
  </si>
  <si>
    <r>
      <t xml:space="preserve">果酒（含酒精）;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</t>
    </r>
  </si>
  <si>
    <t>菱融花</t>
  </si>
  <si>
    <r>
      <t>广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菱融</t>
    </r>
    <r>
      <rPr>
        <sz val="11"/>
        <color theme="1"/>
        <rFont val="ＭＳ Ｐゴシック"/>
        <family val="3"/>
        <charset val="134"/>
        <scheme val="minor"/>
      </rPr>
      <t>阁</t>
    </r>
    <r>
      <rPr>
        <sz val="11"/>
        <color theme="1"/>
        <rFont val="ＭＳ Ｐゴシック"/>
        <family val="3"/>
        <charset val="128"/>
        <scheme val="minor"/>
      </rPr>
      <t>健康科技有限公司</t>
    </r>
  </si>
  <si>
    <r>
      <t>果酒（含酒精）; 威士忌; 黄酒;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葡萄酒; 露酒</t>
    </r>
  </si>
  <si>
    <r>
      <t>明崇</t>
    </r>
    <r>
      <rPr>
        <sz val="11"/>
        <color theme="1"/>
        <rFont val="ＭＳ Ｐゴシック"/>
        <family val="3"/>
        <charset val="134"/>
        <scheme val="minor"/>
      </rPr>
      <t>俨</t>
    </r>
  </si>
  <si>
    <r>
      <t>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千端祥酒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</si>
  <si>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白酒; 黄酒; 汽酒; 佐餐酒;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利口酒; 烈酒; 清酒; 高粱酒; 甜酒</t>
    </r>
  </si>
  <si>
    <r>
      <t>丘斯</t>
    </r>
    <r>
      <rPr>
        <sz val="11"/>
        <color theme="1"/>
        <rFont val="ＭＳ Ｐゴシック"/>
        <family val="3"/>
        <charset val="134"/>
        <scheme val="minor"/>
      </rPr>
      <t>顿</t>
    </r>
  </si>
  <si>
    <r>
      <t>朗姆酒; 米酒;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威士忌; 利口酒; 伏特加酒; 烈酒; 葡萄酒</t>
    </r>
  </si>
  <si>
    <r>
      <t>弘</t>
    </r>
    <r>
      <rPr>
        <sz val="11"/>
        <color theme="1"/>
        <rFont val="ＭＳ Ｐゴシック"/>
        <family val="3"/>
        <charset val="134"/>
        <scheme val="minor"/>
      </rPr>
      <t>记</t>
    </r>
    <r>
      <rPr>
        <sz val="11"/>
        <color theme="1"/>
        <rFont val="ＭＳ Ｐゴシック"/>
        <family val="3"/>
        <charset val="128"/>
        <scheme val="minor"/>
      </rPr>
      <t>西口春</t>
    </r>
  </si>
  <si>
    <r>
      <t>李建</t>
    </r>
    <r>
      <rPr>
        <sz val="11"/>
        <color theme="1"/>
        <rFont val="ＭＳ Ｐゴシック"/>
        <family val="3"/>
        <charset val="134"/>
        <scheme val="minor"/>
      </rPr>
      <t>军</t>
    </r>
    <r>
      <rPr>
        <sz val="11"/>
        <color theme="1"/>
        <rFont val="ＭＳ Ｐゴシック"/>
        <family val="3"/>
        <charset val="128"/>
        <scheme val="minor"/>
      </rPr>
      <t>******************</t>
    </r>
  </si>
  <si>
    <r>
      <t>开胃酒; 汽酒;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清酒（日本米酒）;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果酒（含酒精）; 葡萄酒</t>
    </r>
  </si>
  <si>
    <t>神都星高</t>
  </si>
  <si>
    <r>
      <t>河南省高星</t>
    </r>
    <r>
      <rPr>
        <sz val="11"/>
        <color theme="1"/>
        <rFont val="ＭＳ Ｐゴシック"/>
        <family val="3"/>
        <charset val="134"/>
        <scheme val="minor"/>
      </rPr>
      <t>实业</t>
    </r>
    <r>
      <rPr>
        <sz val="11"/>
        <color theme="1"/>
        <rFont val="ＭＳ Ｐゴシック"/>
        <family val="3"/>
        <charset val="128"/>
        <scheme val="minor"/>
      </rPr>
      <t>股份有限公司</t>
    </r>
  </si>
  <si>
    <r>
      <t>青稞酒; 米酒; 葡萄酒; 果酒（含酒精）; 食用酒精;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利口酒</t>
    </r>
  </si>
  <si>
    <r>
      <t>千</t>
    </r>
    <r>
      <rPr>
        <sz val="11"/>
        <color theme="1"/>
        <rFont val="ＭＳ Ｐゴシック"/>
        <family val="3"/>
        <charset val="134"/>
        <scheme val="minor"/>
      </rPr>
      <t>户</t>
    </r>
    <r>
      <rPr>
        <sz val="11"/>
        <color theme="1"/>
        <rFont val="ＭＳ Ｐゴシック"/>
        <family val="3"/>
        <charset val="128"/>
        <scheme val="minor"/>
      </rPr>
      <t>井</t>
    </r>
  </si>
  <si>
    <r>
      <t>潇</t>
    </r>
    <r>
      <rPr>
        <sz val="11"/>
        <color theme="1"/>
        <rFont val="ＭＳ Ｐゴシック"/>
        <family val="3"/>
        <charset val="128"/>
        <scheme val="minor"/>
      </rPr>
      <t>当歌</t>
    </r>
  </si>
  <si>
    <r>
      <t>果酒（含酒精）; 清酒; 米酒; 食用酒精;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白酒</t>
    </r>
  </si>
  <si>
    <t>金字王</t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</si>
  <si>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汽酒; 果酒（含酒精）</t>
    </r>
  </si>
  <si>
    <t>众人妙</t>
  </si>
  <si>
    <t>李学明</t>
  </si>
  <si>
    <r>
      <t>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青稞酒; 白酒; 黄酒; 食用酒精; 米酒</t>
    </r>
  </si>
  <si>
    <r>
      <t>朗</t>
    </r>
    <r>
      <rPr>
        <sz val="11"/>
        <color theme="1"/>
        <rFont val="ＭＳ Ｐゴシック"/>
        <family val="3"/>
        <charset val="134"/>
        <scheme val="minor"/>
      </rPr>
      <t>蕴</t>
    </r>
  </si>
  <si>
    <r>
      <t>朗</t>
    </r>
    <r>
      <rPr>
        <sz val="11"/>
        <color theme="1"/>
        <rFont val="ＭＳ Ｐゴシック"/>
        <family val="3"/>
        <charset val="134"/>
        <scheme val="minor"/>
      </rPr>
      <t>蕴</t>
    </r>
    <r>
      <rPr>
        <sz val="11"/>
        <color theme="1"/>
        <rFont val="ＭＳ Ｐゴシック"/>
        <family val="3"/>
        <charset val="128"/>
        <scheme val="minor"/>
      </rPr>
      <t>（大</t>
    </r>
    <r>
      <rPr>
        <sz val="11"/>
        <color theme="1"/>
        <rFont val="ＭＳ Ｐゴシック"/>
        <family val="3"/>
        <charset val="134"/>
        <scheme val="minor"/>
      </rPr>
      <t>连</t>
    </r>
    <r>
      <rPr>
        <sz val="11"/>
        <color theme="1"/>
        <rFont val="ＭＳ Ｐゴシック"/>
        <family val="3"/>
        <charset val="128"/>
        <scheme val="minor"/>
      </rPr>
      <t>）商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</si>
  <si>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白酒;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苹果酒</t>
    </r>
  </si>
  <si>
    <t>金汴王</t>
  </si>
  <si>
    <r>
      <t>果酒（含酒精）; 苦味酒; 青稞酒; 白酒;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餐后酒（利口酒和烈酒）; 葡萄酒</t>
    </r>
  </si>
  <si>
    <r>
      <t>银</t>
    </r>
    <r>
      <rPr>
        <sz val="11"/>
        <color theme="1"/>
        <rFont val="ＭＳ Ｐゴシック"/>
        <family val="3"/>
        <charset val="128"/>
        <scheme val="minor"/>
      </rPr>
      <t>汴王</t>
    </r>
  </si>
  <si>
    <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餐后酒（利口酒和烈酒）; 苦味酒; 青稞酒; 果酒（含酒精）;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</t>
    </r>
  </si>
  <si>
    <t>德智平</t>
  </si>
  <si>
    <t>河南德智平生物科技有限公司</t>
  </si>
  <si>
    <r>
      <t xml:space="preserve">高粱酒; 白酒; 蒸煮提取物（利口酒和烈酒）;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果酒;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米酒;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</si>
  <si>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散花人和</t>
  </si>
  <si>
    <r>
      <t>烈酒; 高粱酒;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果酒; 清酒; 白干酒（中国白酒）; 葡萄酒; 黄酒</t>
    </r>
  </si>
  <si>
    <r>
      <t>尊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大福</t>
    </r>
  </si>
  <si>
    <r>
      <t xml:space="preserve">葡萄酒;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伏特加酒;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青稞酒</t>
    </r>
  </si>
  <si>
    <r>
      <t>东</t>
    </r>
    <r>
      <rPr>
        <sz val="11"/>
        <color theme="1"/>
        <rFont val="ＭＳ Ｐゴシック"/>
        <family val="3"/>
        <charset val="128"/>
        <scheme val="minor"/>
      </rPr>
      <t>江醇吉</t>
    </r>
    <r>
      <rPr>
        <sz val="11"/>
        <color theme="1"/>
        <rFont val="ＭＳ Ｐゴシック"/>
        <family val="3"/>
        <charset val="134"/>
        <scheme val="minor"/>
      </rPr>
      <t>纽</t>
    </r>
  </si>
  <si>
    <r>
      <t>广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茶易</t>
    </r>
    <r>
      <rPr>
        <sz val="11"/>
        <color theme="1"/>
        <rFont val="ＭＳ Ｐゴシック"/>
        <family val="3"/>
        <charset val="134"/>
        <scheme val="minor"/>
      </rPr>
      <t>选电</t>
    </r>
    <r>
      <rPr>
        <sz val="11"/>
        <color theme="1"/>
        <rFont val="ＭＳ Ｐゴシック"/>
        <family val="3"/>
        <charset val="128"/>
        <scheme val="minor"/>
      </rPr>
      <t>子商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</si>
  <si>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米酒; 高粱酒; 白酒; 果酒（含酒精）;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果酒; 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</si>
  <si>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肆拾玖窖四开</t>
  </si>
  <si>
    <r>
      <t>江</t>
    </r>
    <r>
      <rPr>
        <sz val="11"/>
        <color theme="1"/>
        <rFont val="ＭＳ Ｐゴシック"/>
        <family val="3"/>
        <charset val="134"/>
        <scheme val="minor"/>
      </rPr>
      <t>苏</t>
    </r>
    <r>
      <rPr>
        <sz val="11"/>
        <color theme="1"/>
        <rFont val="ＭＳ Ｐゴシック"/>
        <family val="3"/>
        <charset val="128"/>
        <scheme val="minor"/>
      </rPr>
      <t>菲</t>
    </r>
    <r>
      <rPr>
        <sz val="11"/>
        <color theme="1"/>
        <rFont val="ＭＳ Ｐゴシック"/>
        <family val="3"/>
        <charset val="134"/>
        <scheme val="minor"/>
      </rPr>
      <t>玛</t>
    </r>
    <r>
      <rPr>
        <sz val="11"/>
        <color theme="1"/>
        <rFont val="ＭＳ Ｐゴシック"/>
        <family val="3"/>
        <charset val="128"/>
        <scheme val="minor"/>
      </rPr>
      <t>小宝</t>
    </r>
    <r>
      <rPr>
        <sz val="11"/>
        <color theme="1"/>
        <rFont val="ＭＳ Ｐゴシック"/>
        <family val="3"/>
        <charset val="134"/>
        <scheme val="minor"/>
      </rPr>
      <t>实业发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</si>
  <si>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 xml:space="preserve">白酒;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高粱酒;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果酒（含酒精）</t>
    </r>
  </si>
  <si>
    <t>TANGYUJIU</t>
  </si>
  <si>
    <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白干酒（中国白酒）;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米酒（泡盛酒）; 米酒</t>
    </r>
  </si>
  <si>
    <r>
      <t>赤</t>
    </r>
    <r>
      <rPr>
        <sz val="11"/>
        <color theme="1"/>
        <rFont val="ＭＳ Ｐゴシック"/>
        <family val="3"/>
        <charset val="134"/>
        <scheme val="minor"/>
      </rPr>
      <t>浆</t>
    </r>
    <r>
      <rPr>
        <sz val="11"/>
        <color theme="1"/>
        <rFont val="ＭＳ Ｐゴシック"/>
        <family val="3"/>
        <charset val="128"/>
        <scheme val="minor"/>
      </rPr>
      <t>士</t>
    </r>
  </si>
  <si>
    <r>
      <t>深圳思特莱商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</si>
  <si>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清酒（日本米酒）; 开胃酒; 烈酒;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葡萄酒; 威士忌;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</si>
  <si>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巴禹</t>
  </si>
  <si>
    <r>
      <t xml:space="preserve">米酒; 白干酒（中国白酒）;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白葡萄酒;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米酒（泡盛酒）;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</si>
  <si>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奔禹</t>
  </si>
  <si>
    <r>
      <t>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米酒（泡盛酒）; 白葡萄酒; 米酒;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白干酒（中国白酒）;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</t>
    </r>
  </si>
  <si>
    <t>吴园醇</t>
  </si>
  <si>
    <r>
      <t>吴</t>
    </r>
    <r>
      <rPr>
        <sz val="11"/>
        <color theme="1"/>
        <rFont val="ＭＳ Ｐゴシック"/>
        <family val="3"/>
        <charset val="134"/>
        <scheme val="minor"/>
      </rPr>
      <t>丽</t>
    </r>
    <r>
      <rPr>
        <sz val="11"/>
        <color theme="1"/>
        <rFont val="ＭＳ Ｐゴシック"/>
        <family val="3"/>
        <charset val="128"/>
        <scheme val="minor"/>
      </rPr>
      <t>叶</t>
    </r>
  </si>
  <si>
    <r>
      <t>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果酒（含酒精）;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</t>
    </r>
  </si>
  <si>
    <r>
      <t>际</t>
    </r>
    <r>
      <rPr>
        <sz val="11"/>
        <color theme="1"/>
        <rFont val="ＭＳ Ｐゴシック"/>
        <family val="3"/>
        <charset val="128"/>
        <scheme val="minor"/>
      </rPr>
      <t>源控股（北京）有限公司</t>
    </r>
  </si>
  <si>
    <r>
      <t>果酒（含酒精）; 含酒精的气泡水;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果酒; 水果汽酒; 白酒; 高粱酒;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</t>
    </r>
  </si>
  <si>
    <r>
      <t>晋柿</t>
    </r>
    <r>
      <rPr>
        <sz val="11"/>
        <color theme="1"/>
        <rFont val="ＭＳ Ｐゴシック"/>
        <family val="3"/>
        <charset val="134"/>
        <scheme val="minor"/>
      </rPr>
      <t>红</t>
    </r>
  </si>
  <si>
    <r>
      <t>北京天</t>
    </r>
    <r>
      <rPr>
        <sz val="11"/>
        <color theme="1"/>
        <rFont val="ＭＳ Ｐゴシック"/>
        <family val="3"/>
        <charset val="134"/>
        <scheme val="minor"/>
      </rPr>
      <t>润</t>
    </r>
    <r>
      <rPr>
        <sz val="11"/>
        <color theme="1"/>
        <rFont val="ＭＳ Ｐゴシック"/>
        <family val="3"/>
        <charset val="128"/>
        <scheme val="minor"/>
      </rPr>
      <t>五德广告</t>
    </r>
    <r>
      <rPr>
        <sz val="11"/>
        <color theme="1"/>
        <rFont val="ＭＳ Ｐゴシック"/>
        <family val="3"/>
        <charset val="134"/>
        <scheme val="minor"/>
      </rPr>
      <t>设计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</si>
  <si>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蒸煮提取物（利口酒和烈酒）;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甜酒; 果酒（含酒精）; 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清酒;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开胃酒; 苦味酒; 水果汽酒; 葡萄酒; 米酒</t>
    </r>
  </si>
  <si>
    <t>世德景元</t>
  </si>
  <si>
    <r>
      <t>四川</t>
    </r>
    <r>
      <rPr>
        <sz val="11"/>
        <color theme="1"/>
        <rFont val="ＭＳ Ｐゴシック"/>
        <family val="3"/>
        <charset val="134"/>
        <scheme val="minor"/>
      </rPr>
      <t>顺</t>
    </r>
    <r>
      <rPr>
        <sz val="11"/>
        <color theme="1"/>
        <rFont val="ＭＳ Ｐゴシック"/>
        <family val="3"/>
        <charset val="128"/>
        <scheme val="minor"/>
      </rPr>
      <t>世通科技有限公司</t>
    </r>
  </si>
  <si>
    <r>
      <t>黄酒; 白酒; 青梅酒; 青稞酒;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 xml:space="preserve">酒; 白干酒（中国白酒）;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 xml:space="preserve">梅酒; 五加皮酒（中国混合烈酒）;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</si>
  <si>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t>征曌</t>
  </si>
  <si>
    <r>
      <t>沛芝堂（</t>
    </r>
    <r>
      <rPr>
        <sz val="11"/>
        <color theme="1"/>
        <rFont val="ＭＳ Ｐゴシック"/>
        <family val="3"/>
        <charset val="134"/>
        <scheme val="minor"/>
      </rPr>
      <t>辽</t>
    </r>
    <r>
      <rPr>
        <sz val="11"/>
        <color theme="1"/>
        <rFont val="ＭＳ Ｐゴシック"/>
        <family val="3"/>
        <charset val="128"/>
        <scheme val="minor"/>
      </rPr>
      <t>宁）科技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</si>
  <si>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白酒; 米酒; 清酒;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烈酒; 黄酒; 利口酒;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</si>
  <si>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t>仙方谷</t>
  </si>
  <si>
    <r>
      <t>广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仙方谷健康科技有限公司</t>
    </r>
  </si>
  <si>
    <r>
      <t>果酒（含酒精）;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开胃酒;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柑香酒; 蒸煮提取物（利口酒和烈酒）;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黄酒</t>
    </r>
  </si>
  <si>
    <t>LEGARTUN</t>
  </si>
  <si>
    <r>
      <t>红</t>
    </r>
    <r>
      <rPr>
        <sz val="11"/>
        <color theme="1"/>
        <rFont val="ＭＳ Ｐゴシック"/>
        <family val="3"/>
        <charset val="128"/>
        <scheme val="minor"/>
      </rPr>
      <t>葡萄酒; 食用酒精; 不起泡葡萄酒;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桃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</t>
    </r>
  </si>
  <si>
    <t>诞</t>
  </si>
  <si>
    <r>
      <t>肖</t>
    </r>
    <r>
      <rPr>
        <sz val="11"/>
        <color theme="1"/>
        <rFont val="ＭＳ Ｐゴシック"/>
        <family val="3"/>
        <charset val="134"/>
        <scheme val="minor"/>
      </rPr>
      <t>绪</t>
    </r>
    <r>
      <rPr>
        <sz val="11"/>
        <color theme="1"/>
        <rFont val="ＭＳ Ｐゴシック"/>
        <family val="3"/>
        <charset val="128"/>
        <scheme val="minor"/>
      </rPr>
      <t>全</t>
    </r>
  </si>
  <si>
    <t>尚熠</t>
  </si>
  <si>
    <r>
      <t>张</t>
    </r>
    <r>
      <rPr>
        <sz val="11"/>
        <color theme="1"/>
        <rFont val="ＭＳ Ｐゴシック"/>
        <family val="3"/>
        <charset val="128"/>
        <scheme val="minor"/>
      </rPr>
      <t>素霞</t>
    </r>
  </si>
  <si>
    <r>
      <t>果酒（含酒精）;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苹果酒; 白酒; 葡萄酒; 利口酒;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伏特加酒; 黄酒</t>
    </r>
  </si>
  <si>
    <t>BLACK OF EXIT</t>
  </si>
  <si>
    <t>郑泽镔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</si>
  <si>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餐后酒（利口酒和烈酒）;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食用酒精; 果酒（含酒精）; 白酒;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</si>
  <si>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相</t>
    </r>
    <r>
      <rPr>
        <sz val="11"/>
        <color theme="1"/>
        <rFont val="ＭＳ Ｐゴシック"/>
        <family val="3"/>
        <charset val="134"/>
        <scheme val="minor"/>
      </rPr>
      <t>约</t>
    </r>
    <r>
      <rPr>
        <sz val="11"/>
        <color theme="1"/>
        <rFont val="ＭＳ Ｐゴシック"/>
        <family val="3"/>
        <charset val="128"/>
        <scheme val="minor"/>
      </rPr>
      <t>小洞庭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</si>
  <si>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葡萄酒; 开胃酒; 烈酒;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米酒; 甜酒</t>
    </r>
  </si>
  <si>
    <r>
      <t>黑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江省金</t>
    </r>
    <r>
      <rPr>
        <sz val="11"/>
        <color theme="1"/>
        <rFont val="ＭＳ Ｐゴシック"/>
        <family val="3"/>
        <charset val="134"/>
        <scheme val="minor"/>
      </rPr>
      <t>顶调</t>
    </r>
    <r>
      <rPr>
        <sz val="11"/>
        <color theme="1"/>
        <rFont val="ＭＳ Ｐゴシック"/>
        <family val="3"/>
        <charset val="128"/>
        <scheme val="minor"/>
      </rPr>
      <t>味食品有限公司</t>
    </r>
  </si>
  <si>
    <r>
      <t xml:space="preserve">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甜酒; 烈酒; 果酒; 汽酒; 黄酒; 白酒;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</si>
  <si>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t>礼聚台</t>
  </si>
  <si>
    <r>
      <t>果酒; 白酒;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高粱酒; 露酒;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葡萄酒; 青稞酒; 黄酒</t>
    </r>
  </si>
  <si>
    <r>
      <t>圣</t>
    </r>
    <r>
      <rPr>
        <sz val="11"/>
        <color theme="1"/>
        <rFont val="ＭＳ Ｐゴシック"/>
        <family val="3"/>
        <charset val="134"/>
        <scheme val="minor"/>
      </rPr>
      <t>读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</si>
  <si>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蜂蜜酒; 果酒（含酒精）; 黄酒; 含酒精的水果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米酒; 白酒</t>
    </r>
  </si>
  <si>
    <r>
      <t>风</t>
    </r>
    <r>
      <rPr>
        <sz val="11"/>
        <color theme="1"/>
        <rFont val="ＭＳ Ｐゴシック"/>
        <family val="3"/>
        <charset val="128"/>
        <scheme val="minor"/>
      </rPr>
      <t>之藤</t>
    </r>
  </si>
  <si>
    <r>
      <t>宁夏博</t>
    </r>
    <r>
      <rPr>
        <sz val="11"/>
        <color theme="1"/>
        <rFont val="ＭＳ Ｐゴシック"/>
        <family val="3"/>
        <charset val="134"/>
        <scheme val="minor"/>
      </rPr>
      <t>纳</t>
    </r>
    <r>
      <rPr>
        <sz val="11"/>
        <color theme="1"/>
        <rFont val="ＭＳ Ｐゴシック"/>
        <family val="3"/>
        <charset val="128"/>
        <scheme val="minor"/>
      </rPr>
      <t>美酒</t>
    </r>
    <r>
      <rPr>
        <sz val="11"/>
        <color theme="1"/>
        <rFont val="ＭＳ Ｐゴシック"/>
        <family val="3"/>
        <charset val="134"/>
        <scheme val="minor"/>
      </rPr>
      <t>电</t>
    </r>
    <r>
      <rPr>
        <sz val="11"/>
        <color theme="1"/>
        <rFont val="ＭＳ Ｐゴシック"/>
        <family val="3"/>
        <charset val="128"/>
        <scheme val="minor"/>
      </rPr>
      <t>子商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</si>
  <si>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利口酒; 苹果酒; 混合威士忌酒; 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果酒（含酒精）</t>
    </r>
  </si>
  <si>
    <t>研岸</t>
  </si>
  <si>
    <r>
      <t>大</t>
    </r>
    <r>
      <rPr>
        <sz val="11"/>
        <color theme="1"/>
        <rFont val="ＭＳ Ｐゴシック"/>
        <family val="3"/>
        <charset val="134"/>
        <scheme val="minor"/>
      </rPr>
      <t>连</t>
    </r>
    <r>
      <rPr>
        <sz val="11"/>
        <color theme="1"/>
        <rFont val="ＭＳ Ｐゴシック"/>
        <family val="3"/>
        <charset val="128"/>
        <scheme val="minor"/>
      </rPr>
      <t>八达通商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管理集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</si>
  <si>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红</t>
    </r>
    <r>
      <rPr>
        <sz val="11"/>
        <color theme="1"/>
        <rFont val="ＭＳ Ｐゴシック"/>
        <family val="3"/>
        <charset val="128"/>
        <scheme val="minor"/>
      </rPr>
      <t>葡萄酒; 威士忌; 米酒;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清酒; 葡萄酒; 果酒（含酒精）; 黄酒</t>
    </r>
  </si>
  <si>
    <t>状榜探</t>
  </si>
  <si>
    <r>
      <t>清酒;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葡萄酒; 黄酒; 白酒;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米酒</t>
    </r>
  </si>
  <si>
    <t>菱融梦</t>
  </si>
  <si>
    <r>
      <t>黄酒;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露酒;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威士忌</t>
    </r>
  </si>
  <si>
    <t>宴高良</t>
  </si>
  <si>
    <r>
      <t>宁波与</t>
    </r>
    <r>
      <rPr>
        <sz val="11"/>
        <color theme="1"/>
        <rFont val="ＭＳ Ｐゴシック"/>
        <family val="3"/>
        <charset val="134"/>
        <scheme val="minor"/>
      </rPr>
      <t>时</t>
    </r>
    <r>
      <rPr>
        <sz val="11"/>
        <color theme="1"/>
        <rFont val="ＭＳ Ｐゴシック"/>
        <family val="3"/>
        <charset val="128"/>
        <scheme val="minor"/>
      </rPr>
      <t>信息技</t>
    </r>
    <r>
      <rPr>
        <sz val="11"/>
        <color theme="1"/>
        <rFont val="ＭＳ Ｐゴシック"/>
        <family val="3"/>
        <charset val="134"/>
        <scheme val="minor"/>
      </rPr>
      <t>术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</si>
  <si>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果酒（含酒精）; 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米酒; 白干酒（中国白酒）;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</t>
    </r>
  </si>
  <si>
    <r>
      <t>说</t>
    </r>
    <r>
      <rPr>
        <sz val="11"/>
        <color theme="1"/>
        <rFont val="ＭＳ Ｐゴシック"/>
        <family val="3"/>
        <charset val="128"/>
        <scheme val="minor"/>
      </rPr>
      <t>萄</t>
    </r>
  </si>
  <si>
    <r>
      <t>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利口酒;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清酒（日本米酒）; 威士忌; 白酒; 米酒; 黄酒</t>
    </r>
  </si>
  <si>
    <t>秦韵古</t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</si>
  <si>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葡萄酒; 黄酒; 米酒;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</si>
  <si>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葡萄酒; 果酒;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米酒（泡盛酒）;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果酒（含酒精）;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威士忌</t>
    </r>
  </si>
  <si>
    <t>度歌</t>
  </si>
  <si>
    <r>
      <t>重</t>
    </r>
    <r>
      <rPr>
        <sz val="11"/>
        <color theme="1"/>
        <rFont val="ＭＳ Ｐゴシック"/>
        <family val="3"/>
        <charset val="134"/>
        <scheme val="minor"/>
      </rPr>
      <t>庆</t>
    </r>
    <r>
      <rPr>
        <sz val="11"/>
        <color theme="1"/>
        <rFont val="ＭＳ Ｐゴシック"/>
        <family val="3"/>
        <charset val="128"/>
        <scheme val="minor"/>
      </rPr>
      <t>海斛集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股份有限公司</t>
    </r>
  </si>
  <si>
    <r>
      <t>果酒（含酒精）; 白酒; 蜂蜜酒;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食用酒精; 米酒; 葡萄酒; 汽酒; 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</si>
  <si>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坡山岩</t>
    </r>
    <r>
      <rPr>
        <sz val="11"/>
        <color theme="1"/>
        <rFont val="ＭＳ Ｐゴシック"/>
        <family val="3"/>
        <charset val="134"/>
        <scheme val="minor"/>
      </rPr>
      <t>浆</t>
    </r>
  </si>
  <si>
    <r>
      <t>厦</t>
    </r>
    <r>
      <rPr>
        <sz val="11"/>
        <color theme="1"/>
        <rFont val="ＭＳ Ｐゴシック"/>
        <family val="3"/>
        <charset val="134"/>
        <scheme val="minor"/>
      </rPr>
      <t>门闽</t>
    </r>
    <r>
      <rPr>
        <sz val="11"/>
        <color theme="1"/>
        <rFont val="ＭＳ Ｐゴシック"/>
        <family val="3"/>
        <charset val="128"/>
        <scheme val="minor"/>
      </rPr>
      <t>南</t>
    </r>
    <r>
      <rPr>
        <sz val="11"/>
        <color theme="1"/>
        <rFont val="ＭＳ Ｐゴシック"/>
        <family val="3"/>
        <charset val="134"/>
        <scheme val="minor"/>
      </rPr>
      <t>缘</t>
    </r>
    <r>
      <rPr>
        <sz val="11"/>
        <color theme="1"/>
        <rFont val="ＭＳ Ｐゴシック"/>
        <family val="3"/>
        <charset val="128"/>
        <scheme val="minor"/>
      </rPr>
      <t>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播有限公司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</si>
  <si>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葡萄酒; 白酒; 高粱酒;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</si>
  <si>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君品</t>
    </r>
    <r>
      <rPr>
        <sz val="11"/>
        <color theme="1"/>
        <rFont val="ＭＳ Ｐゴシック"/>
        <family val="3"/>
        <charset val="134"/>
        <scheme val="minor"/>
      </rPr>
      <t>萧战</t>
    </r>
  </si>
  <si>
    <r>
      <t>萧</t>
    </r>
    <r>
      <rPr>
        <sz val="11"/>
        <color theme="1"/>
        <rFont val="ＭＳ Ｐゴシック"/>
        <family val="3"/>
        <charset val="128"/>
        <scheme val="minor"/>
      </rPr>
      <t>登仲******************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</si>
  <si>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烈酒;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开胃酒; 葡萄酒; 白酒; 威士忌; 果酒; 米酒</t>
    </r>
  </si>
  <si>
    <t>御金斗</t>
  </si>
  <si>
    <r>
      <t>中新恒达（深圳）投</t>
    </r>
    <r>
      <rPr>
        <sz val="11"/>
        <color theme="1"/>
        <rFont val="ＭＳ Ｐゴシック"/>
        <family val="3"/>
        <charset val="134"/>
        <scheme val="minor"/>
      </rPr>
      <t>资发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</si>
  <si>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米酒; 果酒（含酒精）; 苹果酒;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餐后酒（利口酒和烈酒）; 白酒; 葡萄酒;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露酒;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</si>
  <si>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t>十月末</t>
  </si>
  <si>
    <t>李虹燕</t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</si>
  <si>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梨酒;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蜂蜜酒</t>
    </r>
  </si>
  <si>
    <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威士忌; 黄酒; 朗姆酒;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清酒（日本米酒）; 米酒; 白酒</t>
    </r>
  </si>
  <si>
    <t>榕无二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</si>
  <si>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州英</t>
    </r>
    <r>
      <rPr>
        <sz val="11"/>
        <color theme="1"/>
        <rFont val="ＭＳ Ｐゴシック"/>
        <family val="3"/>
        <charset val="134"/>
        <scheme val="minor"/>
      </rPr>
      <t>图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</si>
  <si>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食用酒精; 白干酒（中国白酒）; 葡萄酒; 高粱酒;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白酒; 米酒</t>
    </r>
  </si>
  <si>
    <r>
      <t>桃</t>
    </r>
    <r>
      <rPr>
        <sz val="11"/>
        <color theme="1"/>
        <rFont val="ＭＳ Ｐゴシック"/>
        <family val="3"/>
        <charset val="134"/>
        <scheme val="minor"/>
      </rPr>
      <t>乐</t>
    </r>
    <r>
      <rPr>
        <sz val="11"/>
        <color theme="1"/>
        <rFont val="ＭＳ Ｐゴシック"/>
        <family val="3"/>
        <charset val="128"/>
        <scheme val="minor"/>
      </rPr>
      <t>芝</t>
    </r>
  </si>
  <si>
    <t>王振州</t>
  </si>
  <si>
    <r>
      <t>黄酒; 高粱酒;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伏特加酒;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葡萄酒</t>
    </r>
  </si>
  <si>
    <t>瑞璟承</t>
  </si>
  <si>
    <t>璟参堂有限公司</t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</si>
  <si>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黄酒; 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露酒; 白酒</t>
    </r>
  </si>
  <si>
    <r>
      <t>广州</t>
    </r>
    <r>
      <rPr>
        <sz val="11"/>
        <color theme="1"/>
        <rFont val="ＭＳ Ｐゴシック"/>
        <family val="3"/>
        <charset val="134"/>
        <scheme val="minor"/>
      </rPr>
      <t>鹰</t>
    </r>
    <r>
      <rPr>
        <sz val="11"/>
        <color theme="1"/>
        <rFont val="ＭＳ Ｐゴシック"/>
        <family val="3"/>
        <charset val="128"/>
        <scheme val="minor"/>
      </rPr>
      <t>金</t>
    </r>
    <r>
      <rPr>
        <sz val="11"/>
        <color theme="1"/>
        <rFont val="ＭＳ Ｐゴシック"/>
        <family val="3"/>
        <charset val="134"/>
        <scheme val="minor"/>
      </rPr>
      <t>钱</t>
    </r>
    <r>
      <rPr>
        <sz val="11"/>
        <color theme="1"/>
        <rFont val="ＭＳ Ｐゴシック"/>
        <family val="3"/>
        <charset val="128"/>
        <scheme val="minor"/>
      </rPr>
      <t>三花酒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</si>
  <si>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白酒; 清酒（日本米酒）;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利口酒;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果酒; 蒸煮提取物（利口酒和烈酒）; 米酒; 黄酒</t>
    </r>
  </si>
  <si>
    <t>井仙作</t>
  </si>
  <si>
    <r>
      <t>张兴</t>
    </r>
    <r>
      <rPr>
        <sz val="11"/>
        <color theme="1"/>
        <rFont val="ＭＳ Ｐゴシック"/>
        <family val="3"/>
        <charset val="128"/>
        <scheme val="minor"/>
      </rPr>
      <t>旺</t>
    </r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</si>
  <si>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米酒; 烈酒;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葡萄酒; 青稞酒</t>
    </r>
  </si>
  <si>
    <t>淡云烟</t>
  </si>
  <si>
    <t>匡宁</t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</si>
  <si>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</si>
  <si>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玛丽</t>
    </r>
    <r>
      <rPr>
        <sz val="11"/>
        <color theme="1"/>
        <rFont val="ＭＳ Ｐゴシック"/>
        <family val="3"/>
        <charset val="128"/>
        <scheme val="minor"/>
      </rPr>
      <t>瑞</t>
    </r>
    <r>
      <rPr>
        <sz val="11"/>
        <color theme="1"/>
        <rFont val="ＭＳ Ｐゴシック"/>
        <family val="3"/>
        <charset val="134"/>
        <scheme val="minor"/>
      </rPr>
      <t>娅</t>
    </r>
  </si>
  <si>
    <t>李段</t>
  </si>
  <si>
    <r>
      <t>伏特加酒;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甜酒; 威士忌; 葡萄酒;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白葡萄酒</t>
    </r>
  </si>
  <si>
    <t>宸双收</t>
  </si>
  <si>
    <r>
      <t>汪</t>
    </r>
    <r>
      <rPr>
        <sz val="11"/>
        <color theme="1"/>
        <rFont val="ＭＳ Ｐゴシック"/>
        <family val="3"/>
        <charset val="134"/>
        <scheme val="minor"/>
      </rPr>
      <t>义军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</si>
  <si>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米酒; 白酒;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果酒（含酒精）</t>
    </r>
  </si>
  <si>
    <r>
      <t>遵</t>
    </r>
    <r>
      <rPr>
        <sz val="11"/>
        <color theme="1"/>
        <rFont val="ＭＳ Ｐゴシック"/>
        <family val="3"/>
        <charset val="134"/>
        <scheme val="minor"/>
      </rPr>
      <t>缘</t>
    </r>
    <r>
      <rPr>
        <sz val="11"/>
        <color theme="1"/>
        <rFont val="ＭＳ Ｐゴシック"/>
        <family val="3"/>
        <charset val="128"/>
        <scheme val="minor"/>
      </rPr>
      <t>何</t>
    </r>
  </si>
  <si>
    <t>何其微</t>
  </si>
  <si>
    <r>
      <t xml:space="preserve">蒸煮提取物（利口酒和烈酒）; 白酒; 白干酒（中国白酒）;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食用酒精; 高粱酒; 清酒;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</si>
  <si>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r>
      <t>华</t>
    </r>
    <r>
      <rPr>
        <sz val="11"/>
        <color theme="1"/>
        <rFont val="ＭＳ Ｐゴシック"/>
        <family val="3"/>
        <charset val="128"/>
        <scheme val="minor"/>
      </rPr>
      <t>运呈祥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</si>
  <si>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高粱酒; 烈酒;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白干酒（中国白酒）; 葡萄酒; 米酒; 清酒（日本米酒）</t>
    </r>
  </si>
  <si>
    <r>
      <t>大滇五</t>
    </r>
    <r>
      <rPr>
        <sz val="11"/>
        <color theme="1"/>
        <rFont val="ＭＳ Ｐゴシック"/>
        <family val="3"/>
        <charset val="129"/>
        <scheme val="minor"/>
      </rPr>
      <t>朵</t>
    </r>
    <r>
      <rPr>
        <sz val="11"/>
        <color theme="1"/>
        <rFont val="ＭＳ Ｐゴシック"/>
        <family val="3"/>
        <charset val="128"/>
        <scheme val="minor"/>
      </rPr>
      <t>云</t>
    </r>
  </si>
  <si>
    <r>
      <t>云南果</t>
    </r>
    <r>
      <rPr>
        <sz val="11"/>
        <color theme="1"/>
        <rFont val="ＭＳ Ｐゴシック"/>
        <family val="3"/>
        <charset val="134"/>
        <scheme val="minor"/>
      </rPr>
      <t>农</t>
    </r>
    <r>
      <rPr>
        <sz val="11"/>
        <color theme="1"/>
        <rFont val="ＭＳ Ｐゴシック"/>
        <family val="3"/>
        <charset val="128"/>
        <scheme val="minor"/>
      </rPr>
      <t>爸爸</t>
    </r>
    <r>
      <rPr>
        <sz val="11"/>
        <color theme="1"/>
        <rFont val="ＭＳ Ｐゴシック"/>
        <family val="3"/>
        <charset val="134"/>
        <scheme val="minor"/>
      </rPr>
      <t>农业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</si>
  <si>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果酒（含酒精）;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伏特加酒;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汽酒; 黄酒; 葡萄酒</t>
    </r>
  </si>
  <si>
    <r>
      <t>束</t>
    </r>
    <r>
      <rPr>
        <sz val="11"/>
        <color theme="1"/>
        <rFont val="ＭＳ Ｐゴシック"/>
        <family val="3"/>
        <charset val="134"/>
        <scheme val="minor"/>
      </rPr>
      <t>简</t>
    </r>
  </si>
  <si>
    <t>刘巧妍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</si>
  <si>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伏特加酒; 米酒; 果酒（含酒精）; 葡萄酒; 蒸煮提取物（利口酒和烈酒）; 威士忌; 白酒</t>
    </r>
  </si>
  <si>
    <r>
      <t>醉</t>
    </r>
    <r>
      <rPr>
        <sz val="11"/>
        <color theme="1"/>
        <rFont val="ＭＳ Ｐゴシック"/>
        <family val="3"/>
        <charset val="134"/>
        <scheme val="minor"/>
      </rPr>
      <t>风</t>
    </r>
    <r>
      <rPr>
        <sz val="11"/>
        <color theme="1"/>
        <rFont val="ＭＳ Ｐゴシック"/>
        <family val="3"/>
        <charset val="128"/>
        <scheme val="minor"/>
      </rPr>
      <t>采</t>
    </r>
  </si>
  <si>
    <t>林涛</t>
  </si>
  <si>
    <r>
      <t>蒸煮提取物（利口酒和烈酒）; 天然汽酒;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露酒;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水果汽酒;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</si>
  <si>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川烤坊</t>
  </si>
  <si>
    <t>李培通</t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</si>
  <si>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果酒（含酒精）; 开胃酒;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</si>
  <si>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蕴</t>
    </r>
    <r>
      <rPr>
        <sz val="11"/>
        <color theme="1"/>
        <rFont val="ＭＳ Ｐゴシック"/>
        <family val="3"/>
        <charset val="128"/>
        <scheme val="minor"/>
      </rPr>
      <t>天承</t>
    </r>
  </si>
  <si>
    <r>
      <t>曹雪</t>
    </r>
    <r>
      <rPr>
        <sz val="11"/>
        <color theme="1"/>
        <rFont val="ＭＳ Ｐゴシック"/>
        <family val="3"/>
        <charset val="134"/>
        <scheme val="minor"/>
      </rPr>
      <t>琼</t>
    </r>
  </si>
  <si>
    <r>
      <t>汽酒; 米酒;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食用酒精; 清酒（日本米酒）</t>
    </r>
  </si>
  <si>
    <t>吉垚鑫</t>
  </si>
  <si>
    <r>
      <t>通化兄弟泉酒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</si>
  <si>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葡萄酒; 烈酒; 高粱酒;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白酒; 果酒;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</si>
  <si>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黔</t>
    </r>
    <r>
      <rPr>
        <sz val="11"/>
        <color theme="1"/>
        <rFont val="ＭＳ Ｐゴシック"/>
        <family val="3"/>
        <charset val="134"/>
        <scheme val="minor"/>
      </rPr>
      <t>骞</t>
    </r>
  </si>
  <si>
    <t>胡可超</t>
  </si>
  <si>
    <r>
      <t xml:space="preserve">清酒（日本米酒）; 白酒;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食用酒精;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果酒（含酒精）; 烈酒;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</si>
  <si>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携彩</t>
  </si>
  <si>
    <t>叶文秀</t>
  </si>
  <si>
    <r>
      <t>白酒;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黄酒;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汽酒; 果酒（含酒精）; 米酒; 葡萄酒</t>
    </r>
  </si>
  <si>
    <t>听琴台</t>
  </si>
  <si>
    <r>
      <t>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高粱酒; 烈性干酒;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青稞酒; 食用酒精; 白酒; 清酒; 餐后酒（利口酒和烈酒）;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</si>
  <si>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东</t>
    </r>
    <r>
      <rPr>
        <sz val="11"/>
        <color theme="1"/>
        <rFont val="ＭＳ Ｐゴシック"/>
        <family val="3"/>
        <charset val="128"/>
        <scheme val="minor"/>
      </rPr>
      <t>方</t>
    </r>
    <r>
      <rPr>
        <sz val="11"/>
        <color theme="1"/>
        <rFont val="ＭＳ Ｐゴシック"/>
        <family val="3"/>
        <charset val="134"/>
        <scheme val="minor"/>
      </rPr>
      <t>诗</t>
    </r>
    <r>
      <rPr>
        <sz val="11"/>
        <color theme="1"/>
        <rFont val="ＭＳ Ｐゴシック"/>
        <family val="3"/>
        <charset val="128"/>
        <scheme val="minor"/>
      </rPr>
      <t>人</t>
    </r>
  </si>
  <si>
    <t>刘小泉</t>
  </si>
  <si>
    <r>
      <t>威士忌; 果酒（含酒精）; 食用酒精; 白酒;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伏特加酒;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黄酒</t>
    </r>
  </si>
  <si>
    <r>
      <t>互市吉</t>
    </r>
    <r>
      <rPr>
        <sz val="11"/>
        <color theme="1"/>
        <rFont val="ＭＳ Ｐゴシック"/>
        <family val="3"/>
        <charset val="134"/>
        <scheme val="minor"/>
      </rPr>
      <t>农汇</t>
    </r>
  </si>
  <si>
    <r>
      <t>珲</t>
    </r>
    <r>
      <rPr>
        <sz val="11"/>
        <color theme="1"/>
        <rFont val="ＭＳ Ｐゴシック"/>
        <family val="3"/>
        <charset val="128"/>
        <scheme val="minor"/>
      </rPr>
      <t>春吉</t>
    </r>
    <r>
      <rPr>
        <sz val="11"/>
        <color theme="1"/>
        <rFont val="ＭＳ Ｐゴシック"/>
        <family val="3"/>
        <charset val="134"/>
        <scheme val="minor"/>
      </rPr>
      <t>电</t>
    </r>
    <r>
      <rPr>
        <sz val="11"/>
        <color theme="1"/>
        <rFont val="ＭＳ Ｐゴシック"/>
        <family val="3"/>
        <charset val="128"/>
        <scheme val="minor"/>
      </rPr>
      <t>数字</t>
    </r>
    <r>
      <rPr>
        <sz val="11"/>
        <color theme="1"/>
        <rFont val="ＭＳ Ｐゴシック"/>
        <family val="3"/>
        <charset val="134"/>
        <scheme val="minor"/>
      </rPr>
      <t>边贸</t>
    </r>
    <r>
      <rPr>
        <sz val="11"/>
        <color theme="1"/>
        <rFont val="ＭＳ Ｐゴシック"/>
        <family val="3"/>
        <charset val="128"/>
        <scheme val="minor"/>
      </rPr>
      <t>科技服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</si>
  <si>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甜果酒; 蜂蜜酒; 白酒; 黄酒; 葡萄酒;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果酒（含酒精）; </t>
    </r>
    <r>
      <rPr>
        <sz val="11"/>
        <color theme="1"/>
        <rFont val="ＭＳ Ｐゴシック"/>
        <family val="3"/>
        <charset val="134"/>
        <scheme val="minor"/>
      </rPr>
      <t>马</t>
    </r>
    <r>
      <rPr>
        <sz val="11"/>
        <color theme="1"/>
        <rFont val="ＭＳ Ｐゴシック"/>
        <family val="3"/>
        <charset val="128"/>
        <scheme val="minor"/>
      </rPr>
      <t>格利酒（朝</t>
    </r>
    <r>
      <rPr>
        <sz val="11"/>
        <color theme="1"/>
        <rFont val="ＭＳ Ｐゴシック"/>
        <family val="3"/>
        <charset val="134"/>
        <scheme val="minor"/>
      </rPr>
      <t>鲜传统</t>
    </r>
    <r>
      <rPr>
        <sz val="11"/>
        <color theme="1"/>
        <rFont val="ＭＳ Ｐゴシック"/>
        <family val="3"/>
        <charset val="128"/>
        <scheme val="minor"/>
      </rPr>
      <t>米酒）; 烈酒</t>
    </r>
  </si>
  <si>
    <r>
      <t>张</t>
    </r>
    <r>
      <rPr>
        <sz val="11"/>
        <color theme="1"/>
        <rFont val="ＭＳ Ｐゴシック"/>
        <family val="3"/>
        <charset val="128"/>
        <scheme val="minor"/>
      </rPr>
      <t>庭</t>
    </r>
    <r>
      <rPr>
        <sz val="11"/>
        <color theme="1"/>
        <rFont val="ＭＳ Ｐゴシック"/>
        <family val="3"/>
        <charset val="134"/>
        <scheme val="minor"/>
      </rPr>
      <t>苇</t>
    </r>
  </si>
  <si>
    <r>
      <t>米酒; 蜂蜜酒; 甜果酒; 朝</t>
    </r>
    <r>
      <rPr>
        <sz val="11"/>
        <color theme="1"/>
        <rFont val="ＭＳ Ｐゴシック"/>
        <family val="3"/>
        <charset val="134"/>
        <scheme val="minor"/>
      </rPr>
      <t>鲜</t>
    </r>
    <r>
      <rPr>
        <sz val="11"/>
        <color theme="1"/>
        <rFont val="ＭＳ Ｐゴシック"/>
        <family val="3"/>
        <charset val="128"/>
        <scheme val="minor"/>
      </rPr>
      <t xml:space="preserve">族米酒; 白干酒（中国白酒）; 青稞酒;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威士忌; 白酒; 果酒（含酒精）</t>
    </r>
  </si>
  <si>
    <t>炎五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</si>
  <si>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苹果酒;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蜂蜜酒; 葡萄酒; 果酒（含酒精）;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汽酒;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</si>
  <si>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炎工酒</t>
  </si>
  <si>
    <r>
      <t>樱</t>
    </r>
    <r>
      <rPr>
        <sz val="11"/>
        <color theme="1"/>
        <rFont val="ＭＳ Ｐゴシック"/>
        <family val="3"/>
        <charset val="128"/>
        <scheme val="minor"/>
      </rPr>
      <t>桃酒; 果酒（含酒精）;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蜂蜜酒;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汽酒; 白酒; 苹果酒</t>
    </r>
  </si>
  <si>
    <r>
      <t>希</t>
    </r>
    <r>
      <rPr>
        <sz val="11"/>
        <color theme="1"/>
        <rFont val="ＭＳ Ｐゴシック"/>
        <family val="3"/>
        <charset val="134"/>
        <scheme val="minor"/>
      </rPr>
      <t>尔顿</t>
    </r>
    <r>
      <rPr>
        <sz val="11"/>
        <color theme="1"/>
        <rFont val="ＭＳ Ｐゴシック"/>
        <family val="3"/>
        <charset val="128"/>
        <scheme val="minor"/>
      </rPr>
      <t>皇家</t>
    </r>
  </si>
  <si>
    <r>
      <t>重</t>
    </r>
    <r>
      <rPr>
        <sz val="11"/>
        <color theme="1"/>
        <rFont val="ＭＳ Ｐゴシック"/>
        <family val="3"/>
        <charset val="134"/>
        <scheme val="minor"/>
      </rPr>
      <t>庆</t>
    </r>
    <r>
      <rPr>
        <sz val="11"/>
        <color theme="1"/>
        <rFont val="ＭＳ Ｐゴシック"/>
        <family val="3"/>
        <charset val="128"/>
        <scheme val="minor"/>
      </rPr>
      <t>市申海投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</si>
  <si>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果酒; 露酒; 白干酒（中国白酒）;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蒸煮提取物（利口酒和烈酒）; 利口酒;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高粱酒; 白酒</t>
    </r>
  </si>
  <si>
    <t>奇治酒庄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</si>
  <si>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州奇治酒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</si>
  <si>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黄酒; 青稞酒;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果酒（含酒精）</t>
    </r>
  </si>
  <si>
    <t>太基竹</t>
  </si>
  <si>
    <r>
      <t>耒阳市耒水清酒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</si>
  <si>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米酒; 黄酒; 餐后酒（利口酒和烈酒）; 葡萄酒;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汽酒;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</si>
  <si>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湖御粮</t>
  </si>
  <si>
    <r>
      <t>湖州</t>
    </r>
    <r>
      <rPr>
        <sz val="11"/>
        <color theme="1"/>
        <rFont val="ＭＳ Ｐゴシック"/>
        <family val="3"/>
        <charset val="134"/>
        <scheme val="minor"/>
      </rPr>
      <t>锦</t>
    </r>
    <r>
      <rPr>
        <sz val="11"/>
        <color theme="1"/>
        <rFont val="ＭＳ Ｐゴシック"/>
        <family val="3"/>
        <charset val="128"/>
        <scheme val="minor"/>
      </rPr>
      <t>尚科技有限公司</t>
    </r>
  </si>
  <si>
    <r>
      <t xml:space="preserve">葡萄酒;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黄酒; 蜂蜜酒;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果酒（含酒精）;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</si>
  <si>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t>酒洱酒滋</t>
  </si>
  <si>
    <r>
      <t>杭州果</t>
    </r>
    <r>
      <rPr>
        <sz val="11"/>
        <color theme="1"/>
        <rFont val="ＭＳ Ｐゴシック"/>
        <family val="3"/>
        <charset val="134"/>
        <scheme val="minor"/>
      </rPr>
      <t>颜汇</t>
    </r>
    <r>
      <rPr>
        <sz val="11"/>
        <color theme="1"/>
        <rFont val="ＭＳ Ｐゴシック"/>
        <family val="3"/>
        <charset val="128"/>
        <scheme val="minor"/>
      </rPr>
      <t>果品有限公司</t>
    </r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</si>
  <si>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烈酒; 米酒; 清酒; 黄酒;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果酒</t>
    </r>
  </si>
  <si>
    <t>菁苞粒</t>
  </si>
  <si>
    <r>
      <t>苏</t>
    </r>
    <r>
      <rPr>
        <sz val="11"/>
        <color theme="1"/>
        <rFont val="ＭＳ Ｐゴシック"/>
        <family val="3"/>
        <charset val="128"/>
        <scheme val="minor"/>
      </rPr>
      <t>吉平</t>
    </r>
  </si>
  <si>
    <r>
      <t>葡萄酒; 白酒; 餐后酒（利口酒和烈酒）; 青稞酒;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蜂蜜酒; 果酒（含酒精）; 米酒;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</t>
    </r>
  </si>
  <si>
    <r>
      <t>祥瑞新</t>
    </r>
    <r>
      <rPr>
        <sz val="11"/>
        <color theme="1"/>
        <rFont val="ＭＳ Ｐゴシック"/>
        <family val="3"/>
        <charset val="134"/>
        <scheme val="minor"/>
      </rPr>
      <t>贵</t>
    </r>
  </si>
  <si>
    <t>毛素霞</t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</si>
  <si>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利口酒;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伏特加酒;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白酒; 威士忌; 果酒（含酒精）</t>
    </r>
  </si>
  <si>
    <t>松程醇</t>
  </si>
  <si>
    <t>袁桂芳******************</t>
  </si>
  <si>
    <r>
      <t xml:space="preserve">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高粱酒; 甜酒; 果酒</t>
    </r>
  </si>
  <si>
    <r>
      <t>艾思</t>
    </r>
    <r>
      <rPr>
        <sz val="11"/>
        <color theme="1"/>
        <rFont val="ＭＳ Ｐゴシック"/>
        <family val="3"/>
        <charset val="134"/>
        <scheme val="minor"/>
      </rPr>
      <t>语</t>
    </r>
  </si>
  <si>
    <r>
      <t>食用酒精; 烈酒;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高粱酒; 果酒;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露酒</t>
    </r>
  </si>
  <si>
    <t>莫炫</t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</si>
  <si>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蒸煮提取物（利口酒和烈酒）; 威士忌; 白酒; 米酒;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伏特加酒</t>
    </r>
  </si>
  <si>
    <t>花起</t>
  </si>
  <si>
    <r>
      <t>深圳市祥云世</t>
    </r>
    <r>
      <rPr>
        <sz val="11"/>
        <color theme="1"/>
        <rFont val="ＭＳ Ｐゴシック"/>
        <family val="3"/>
        <charset val="134"/>
        <scheme val="minor"/>
      </rPr>
      <t>纪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</si>
  <si>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白酒;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葡萄酒; 清酒（日本米酒）;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</t>
    </r>
  </si>
  <si>
    <t>商都</t>
  </si>
  <si>
    <r>
      <t>朱</t>
    </r>
    <r>
      <rPr>
        <sz val="11"/>
        <color theme="1"/>
        <rFont val="ＭＳ Ｐゴシック"/>
        <family val="3"/>
        <charset val="134"/>
        <scheme val="minor"/>
      </rPr>
      <t>红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</si>
  <si>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露酒;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米酒; 白酒</t>
    </r>
  </si>
  <si>
    <r>
      <t>琼</t>
    </r>
    <r>
      <rPr>
        <sz val="11"/>
        <color theme="1"/>
        <rFont val="ＭＳ Ｐゴシック"/>
        <family val="3"/>
        <charset val="128"/>
        <scheme val="minor"/>
      </rPr>
      <t>琪瑶</t>
    </r>
  </si>
  <si>
    <r>
      <t>赖</t>
    </r>
    <r>
      <rPr>
        <sz val="11"/>
        <color theme="1"/>
        <rFont val="ＭＳ Ｐゴシック"/>
        <family val="3"/>
        <charset val="128"/>
        <scheme val="minor"/>
      </rPr>
      <t>家</t>
    </r>
    <r>
      <rPr>
        <sz val="11"/>
        <color theme="1"/>
        <rFont val="ＭＳ Ｐゴシック"/>
        <family val="3"/>
        <charset val="134"/>
        <scheme val="minor"/>
      </rPr>
      <t>发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</si>
  <si>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威士忌;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清酒;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</si>
  <si>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三大爹</t>
  </si>
  <si>
    <t>方思允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</si>
  <si>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黄酒; 青稞酒; 高粱酒; 白酒;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葡萄酒; 米酒; 果酒</t>
    </r>
  </si>
  <si>
    <t>DAWN SEAL DAWNSEAL 曙光之印</t>
  </si>
  <si>
    <r>
      <t>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清酒（日本米酒）;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食用酒精; 汽酒;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葡萄酒</t>
    </r>
  </si>
  <si>
    <t>台无二</t>
  </si>
  <si>
    <r>
      <t>白干酒（中国白酒）; 高粱酒;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食用酒精; 白酒; 果酒（含酒精）;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</si>
  <si>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田</t>
    </r>
    <r>
      <rPr>
        <sz val="11"/>
        <color theme="1"/>
        <rFont val="ＭＳ Ｐゴシック"/>
        <family val="3"/>
        <charset val="134"/>
        <scheme val="minor"/>
      </rPr>
      <t>间</t>
    </r>
    <r>
      <rPr>
        <sz val="11"/>
        <color theme="1"/>
        <rFont val="ＭＳ Ｐゴシック"/>
        <family val="3"/>
        <charset val="128"/>
        <scheme val="minor"/>
      </rPr>
      <t>初吻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</si>
  <si>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州五谷香餐</t>
    </r>
    <r>
      <rPr>
        <sz val="11"/>
        <color theme="1"/>
        <rFont val="ＭＳ Ｐゴシック"/>
        <family val="3"/>
        <charset val="134"/>
        <scheme val="minor"/>
      </rPr>
      <t>饮发</t>
    </r>
    <r>
      <rPr>
        <sz val="11"/>
        <color theme="1"/>
        <rFont val="ＭＳ Ｐゴシック"/>
        <family val="3"/>
        <charset val="128"/>
        <scheme val="minor"/>
      </rPr>
      <t>展（集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）有限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</si>
  <si>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苹果酒; 葡萄酒; 米酒; 果酒（含酒精）; 餐后酒（利口酒和烈酒）;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露酒;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</si>
  <si>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本</t>
    </r>
    <r>
      <rPr>
        <sz val="11"/>
        <color theme="1"/>
        <rFont val="ＭＳ Ｐゴシック"/>
        <family val="3"/>
        <charset val="134"/>
        <scheme val="minor"/>
      </rPr>
      <t>顺</t>
    </r>
  </si>
  <si>
    <t>蔡明烱</t>
  </si>
  <si>
    <r>
      <t>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含酒精的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尾酒混合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品;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白酒; 果酒（含酒精）</t>
    </r>
  </si>
  <si>
    <r>
      <t>广州原湘酒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</si>
  <si>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威士忌; 米酒; 果酒（含酒精）; 白酒; 葡萄酒; 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餐后酒（利口酒和烈酒）</t>
    </r>
  </si>
  <si>
    <t>丰粒球酒</t>
  </si>
  <si>
    <r>
      <t>崔迪</t>
    </r>
    <r>
      <rPr>
        <sz val="11"/>
        <color theme="1"/>
        <rFont val="ＭＳ Ｐゴシック"/>
        <family val="3"/>
        <charset val="134"/>
        <scheme val="minor"/>
      </rPr>
      <t>艳</t>
    </r>
  </si>
  <si>
    <r>
      <t>蜂蜜酒; 白酒; 开胃酒; 葡萄酒; 伏特加酒;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青稞酒;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</si>
  <si>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冠潭春</t>
  </si>
  <si>
    <t>李德会</t>
  </si>
  <si>
    <r>
      <t xml:space="preserve">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葡萄酒;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威士忌; 果酒（含酒精）; 黄酒</t>
    </r>
  </si>
  <si>
    <r>
      <t>荟</t>
    </r>
    <r>
      <rPr>
        <sz val="11"/>
        <color theme="1"/>
        <rFont val="ＭＳ Ｐゴシック"/>
        <family val="3"/>
        <charset val="128"/>
        <scheme val="minor"/>
      </rPr>
      <t>至</t>
    </r>
  </si>
  <si>
    <t>盛江</t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</si>
  <si>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烈酒;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青稞酒; 果酒（含酒精）; 开胃酒; 黄酒; 米酒</t>
    </r>
  </si>
  <si>
    <r>
      <t>福粮</t>
    </r>
    <r>
      <rPr>
        <sz val="11"/>
        <color theme="1"/>
        <rFont val="ＭＳ Ｐゴシック"/>
        <family val="3"/>
        <charset val="134"/>
        <scheme val="minor"/>
      </rPr>
      <t>凤</t>
    </r>
  </si>
  <si>
    <r>
      <t>陕</t>
    </r>
    <r>
      <rPr>
        <sz val="11"/>
        <color theme="1"/>
        <rFont val="ＭＳ Ｐゴシック"/>
        <family val="3"/>
        <charset val="128"/>
        <scheme val="minor"/>
      </rPr>
      <t>西</t>
    </r>
    <r>
      <rPr>
        <sz val="11"/>
        <color theme="1"/>
        <rFont val="ＭＳ Ｐゴシック"/>
        <family val="3"/>
        <charset val="134"/>
        <scheme val="minor"/>
      </rPr>
      <t>凤</t>
    </r>
    <r>
      <rPr>
        <sz val="11"/>
        <color theme="1"/>
        <rFont val="ＭＳ Ｐゴシック"/>
        <family val="3"/>
        <charset val="128"/>
        <scheme val="minor"/>
      </rPr>
      <t>牌臻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</si>
  <si>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米酒; 白酒; 利口酒;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威士忌; 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</t>
    </r>
  </si>
  <si>
    <r>
      <t>荟</t>
    </r>
    <r>
      <rPr>
        <sz val="11"/>
        <color theme="1"/>
        <rFont val="ＭＳ Ｐゴシック"/>
        <family val="3"/>
        <charset val="128"/>
        <scheme val="minor"/>
      </rPr>
      <t>至吾家有喜</t>
    </r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</si>
  <si>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青稞酒; 果酒（含酒精）; 黄酒; 葡萄酒;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烈酒; 开胃酒</t>
    </r>
  </si>
  <si>
    <r>
      <t>广州易家内</t>
    </r>
    <r>
      <rPr>
        <sz val="11"/>
        <color theme="1"/>
        <rFont val="ＭＳ Ｐゴシック"/>
        <family val="3"/>
        <charset val="134"/>
        <scheme val="minor"/>
      </rPr>
      <t>经</t>
    </r>
    <r>
      <rPr>
        <sz val="11"/>
        <color theme="1"/>
        <rFont val="ＭＳ Ｐゴシック"/>
        <family val="3"/>
        <charset val="128"/>
        <scheme val="minor"/>
      </rPr>
      <t>健康</t>
    </r>
    <r>
      <rPr>
        <sz val="11"/>
        <color theme="1"/>
        <rFont val="ＭＳ Ｐゴシック"/>
        <family val="3"/>
        <charset val="134"/>
        <scheme val="minor"/>
      </rPr>
      <t>产业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</si>
  <si>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餐后酒（利口酒和烈酒）; 利口酒; 米酒;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甜酒;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</si>
  <si>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粤来福桂冰吧</t>
  </si>
  <si>
    <r>
      <t>孙</t>
    </r>
    <r>
      <rPr>
        <sz val="11"/>
        <color theme="1"/>
        <rFont val="ＭＳ Ｐゴシック"/>
        <family val="3"/>
        <charset val="128"/>
        <scheme val="minor"/>
      </rPr>
      <t>国森</t>
    </r>
  </si>
  <si>
    <r>
      <t xml:space="preserve">果酒（含酒精）; 威士忌; 白酒;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高粱酒; 含酒精的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尾酒混合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品;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果酒</t>
    </r>
  </si>
  <si>
    <r>
      <t>维</t>
    </r>
    <r>
      <rPr>
        <sz val="11"/>
        <color theme="1"/>
        <rFont val="ＭＳ Ｐゴシック"/>
        <family val="3"/>
        <charset val="128"/>
        <scheme val="minor"/>
      </rPr>
      <t>德科勒</t>
    </r>
  </si>
  <si>
    <r>
      <t>陕</t>
    </r>
    <r>
      <rPr>
        <sz val="11"/>
        <color theme="1"/>
        <rFont val="ＭＳ Ｐゴシック"/>
        <family val="3"/>
        <charset val="128"/>
        <scheme val="minor"/>
      </rPr>
      <t>西</t>
    </r>
    <r>
      <rPr>
        <sz val="11"/>
        <color theme="1"/>
        <rFont val="ＭＳ Ｐゴシック"/>
        <family val="3"/>
        <charset val="134"/>
        <scheme val="minor"/>
      </rPr>
      <t>娱</t>
    </r>
    <r>
      <rPr>
        <sz val="11"/>
        <color theme="1"/>
        <rFont val="ＭＳ Ｐゴシック"/>
        <family val="3"/>
        <charset val="128"/>
        <scheme val="minor"/>
      </rPr>
      <t>小酒商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</si>
  <si>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威士忌;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开胃酒; 汽酒; 白酒;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</si>
  <si>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风</t>
    </r>
    <r>
      <rPr>
        <sz val="11"/>
        <color theme="1"/>
        <rFont val="ＭＳ Ｐゴシック"/>
        <family val="3"/>
        <charset val="128"/>
        <scheme val="minor"/>
      </rPr>
      <t>情</t>
    </r>
    <r>
      <rPr>
        <sz val="11"/>
        <color theme="1"/>
        <rFont val="ＭＳ Ｐゴシック"/>
        <family val="3"/>
        <charset val="134"/>
        <scheme val="minor"/>
      </rPr>
      <t>澜</t>
    </r>
    <r>
      <rPr>
        <sz val="11"/>
        <color theme="1"/>
        <rFont val="ＭＳ Ｐゴシック"/>
        <family val="3"/>
        <charset val="128"/>
        <scheme val="minor"/>
      </rPr>
      <t>陵</t>
    </r>
  </si>
  <si>
    <r>
      <t>兰</t>
    </r>
    <r>
      <rPr>
        <sz val="11"/>
        <color theme="1"/>
        <rFont val="ＭＳ Ｐゴシック"/>
        <family val="3"/>
        <charset val="128"/>
        <scheme val="minor"/>
      </rPr>
      <t>陵</t>
    </r>
    <r>
      <rPr>
        <sz val="11"/>
        <color theme="1"/>
        <rFont val="ＭＳ Ｐゴシック"/>
        <family val="3"/>
        <charset val="134"/>
        <scheme val="minor"/>
      </rPr>
      <t>汇</t>
    </r>
    <r>
      <rPr>
        <sz val="11"/>
        <color theme="1"/>
        <rFont val="ＭＳ Ｐゴシック"/>
        <family val="3"/>
        <charset val="128"/>
        <scheme val="minor"/>
      </rPr>
      <t>香源酒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</si>
  <si>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米酒;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开胃酒; 利口酒</t>
    </r>
  </si>
  <si>
    <r>
      <t>鲜</t>
    </r>
    <r>
      <rPr>
        <sz val="11"/>
        <color theme="1"/>
        <rFont val="ＭＳ Ｐゴシック"/>
        <family val="3"/>
        <charset val="128"/>
        <scheme val="minor"/>
      </rPr>
      <t>有</t>
    </r>
    <r>
      <rPr>
        <sz val="11"/>
        <color theme="1"/>
        <rFont val="ＭＳ Ｐゴシック"/>
        <family val="3"/>
        <charset val="134"/>
        <scheme val="minor"/>
      </rPr>
      <t>谱</t>
    </r>
  </si>
  <si>
    <r>
      <t>厦</t>
    </r>
    <r>
      <rPr>
        <sz val="11"/>
        <color theme="1"/>
        <rFont val="ＭＳ Ｐゴシック"/>
        <family val="3"/>
        <charset val="134"/>
        <scheme val="minor"/>
      </rPr>
      <t>门鲜</t>
    </r>
    <r>
      <rPr>
        <sz val="11"/>
        <color theme="1"/>
        <rFont val="ＭＳ Ｐゴシック"/>
        <family val="3"/>
        <charset val="128"/>
        <scheme val="minor"/>
      </rPr>
      <t>气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</si>
  <si>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开胃酒; 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青稞酒; 白酒; 黄酒; 葡萄酒; 米酒</t>
    </r>
  </si>
  <si>
    <t>阿卡然·阿布苗</t>
  </si>
  <si>
    <r>
      <t>赵</t>
    </r>
    <r>
      <rPr>
        <sz val="11"/>
        <color theme="1"/>
        <rFont val="ＭＳ Ｐゴシック"/>
        <family val="3"/>
        <charset val="128"/>
        <scheme val="minor"/>
      </rPr>
      <t>云枝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</si>
  <si>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清酒; 果酒（含酒精）;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白酒;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</t>
    </r>
  </si>
  <si>
    <t>鑫杉泓</t>
  </si>
  <si>
    <r>
      <t>泸</t>
    </r>
    <r>
      <rPr>
        <sz val="11"/>
        <color theme="1"/>
        <rFont val="ＭＳ Ｐゴシック"/>
        <family val="3"/>
        <charset val="128"/>
        <scheme val="minor"/>
      </rPr>
      <t>州欣茂商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</si>
  <si>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甜酒; 食用酒精; 米酒; 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</si>
  <si>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云湖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睛</t>
    </r>
  </si>
  <si>
    <r>
      <t>宁波市江北慈城云水寨</t>
    </r>
    <r>
      <rPr>
        <sz val="11"/>
        <color theme="1"/>
        <rFont val="ＭＳ Ｐゴシック"/>
        <family val="3"/>
        <charset val="134"/>
        <scheme val="minor"/>
      </rPr>
      <t>农</t>
    </r>
    <r>
      <rPr>
        <sz val="11"/>
        <color theme="1"/>
        <rFont val="ＭＳ Ｐゴシック"/>
        <family val="3"/>
        <charset val="128"/>
        <scheme val="minor"/>
      </rPr>
      <t>家</t>
    </r>
    <r>
      <rPr>
        <sz val="11"/>
        <color theme="1"/>
        <rFont val="ＭＳ Ｐゴシック"/>
        <family val="3"/>
        <charset val="134"/>
        <scheme val="minor"/>
      </rPr>
      <t>乐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</si>
  <si>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果酒（含酒精）; 葡萄酒;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 xml:space="preserve">桃酒; 白酒;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</si>
  <si>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新水庄园</t>
  </si>
  <si>
    <r>
      <t>新沂市新水</t>
    </r>
    <r>
      <rPr>
        <sz val="11"/>
        <color theme="1"/>
        <rFont val="ＭＳ Ｐゴシック"/>
        <family val="3"/>
        <charset val="134"/>
        <scheme val="minor"/>
      </rPr>
      <t>农业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</si>
  <si>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白酒; 葡萄酒; 黄酒; 果酒（含酒精）;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清酒（日本米酒）; 汽酒</t>
    </r>
  </si>
  <si>
    <r>
      <t>蕴鸿</t>
    </r>
    <r>
      <rPr>
        <sz val="11"/>
        <color theme="1"/>
        <rFont val="ＭＳ Ｐゴシック"/>
        <family val="3"/>
        <charset val="128"/>
        <scheme val="minor"/>
      </rPr>
      <t>瑧雪</t>
    </r>
  </si>
  <si>
    <r>
      <t>重</t>
    </r>
    <r>
      <rPr>
        <sz val="11"/>
        <color theme="1"/>
        <rFont val="ＭＳ Ｐゴシック"/>
        <family val="3"/>
        <charset val="134"/>
        <scheme val="minor"/>
      </rPr>
      <t>庆</t>
    </r>
    <r>
      <rPr>
        <sz val="11"/>
        <color theme="1"/>
        <rFont val="ＭＳ Ｐゴシック"/>
        <family val="3"/>
        <charset val="128"/>
        <scheme val="minor"/>
      </rPr>
      <t>仙</t>
    </r>
    <r>
      <rPr>
        <sz val="11"/>
        <color theme="1"/>
        <rFont val="ＭＳ Ｐゴシック"/>
        <family val="3"/>
        <charset val="134"/>
        <scheme val="minor"/>
      </rPr>
      <t>临</t>
    </r>
    <r>
      <rPr>
        <sz val="11"/>
        <color theme="1"/>
        <rFont val="ＭＳ Ｐゴシック"/>
        <family val="3"/>
        <charset val="128"/>
        <scheme val="minor"/>
      </rPr>
      <t>水巷子商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</si>
  <si>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青稞酒; 苦味酒; 清酒; 梨酒; 黄酒; 果酒</t>
    </r>
  </si>
  <si>
    <t>W</t>
  </si>
  <si>
    <r>
      <t>广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仙津保健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料食品有限公司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</si>
  <si>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汽酒;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</si>
  <si>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郝氏馨瑞儿</t>
  </si>
  <si>
    <t>郝加才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</si>
  <si>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白干酒（中国白酒）; 白酒; 果酒; 高粱酒;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的白酒; 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</t>
    </r>
  </si>
  <si>
    <t>牧君醉</t>
  </si>
  <si>
    <r>
      <t>张</t>
    </r>
    <r>
      <rPr>
        <sz val="11"/>
        <color theme="1"/>
        <rFont val="ＭＳ Ｐゴシック"/>
        <family val="3"/>
        <charset val="128"/>
        <scheme val="minor"/>
      </rPr>
      <t>少忠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</si>
  <si>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葡萄酒; 露酒; 利口酒;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白酒; 清酒;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果酒（含酒精）</t>
    </r>
  </si>
  <si>
    <t>拉特瓦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</si>
  <si>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伏特加酒;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葡萄酒; 高粱酒;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白酒; 黄酒</t>
    </r>
  </si>
  <si>
    <r>
      <t>东</t>
    </r>
    <r>
      <rPr>
        <sz val="11"/>
        <color theme="1"/>
        <rFont val="ＭＳ Ｐゴシック"/>
        <family val="3"/>
        <charset val="128"/>
        <scheme val="minor"/>
      </rPr>
      <t>方</t>
    </r>
    <r>
      <rPr>
        <sz val="11"/>
        <color theme="1"/>
        <rFont val="ＭＳ Ｐゴシック"/>
        <family val="3"/>
        <charset val="134"/>
        <scheme val="minor"/>
      </rPr>
      <t>缘</t>
    </r>
    <r>
      <rPr>
        <sz val="11"/>
        <color theme="1"/>
        <rFont val="ＭＳ Ｐゴシック"/>
        <family val="3"/>
        <charset val="128"/>
        <scheme val="minor"/>
      </rPr>
      <t xml:space="preserve"> 淮合</t>
    </r>
    <r>
      <rPr>
        <sz val="11"/>
        <color theme="1"/>
        <rFont val="ＭＳ Ｐゴシック"/>
        <family val="3"/>
        <charset val="134"/>
        <scheme val="minor"/>
      </rPr>
      <t>龙</t>
    </r>
  </si>
  <si>
    <r>
      <t>东</t>
    </r>
    <r>
      <rPr>
        <sz val="11"/>
        <color theme="1"/>
        <rFont val="ＭＳ Ｐゴシック"/>
        <family val="3"/>
        <charset val="128"/>
        <scheme val="minor"/>
      </rPr>
      <t>方</t>
    </r>
    <r>
      <rPr>
        <sz val="11"/>
        <color theme="1"/>
        <rFont val="ＭＳ Ｐゴシック"/>
        <family val="3"/>
        <charset val="134"/>
        <scheme val="minor"/>
      </rPr>
      <t>缘酿</t>
    </r>
    <r>
      <rPr>
        <sz val="11"/>
        <color theme="1"/>
        <rFont val="ＭＳ Ｐゴシック"/>
        <family val="3"/>
        <charset val="128"/>
        <scheme val="minor"/>
      </rPr>
      <t>酒股份有限公司</t>
    </r>
  </si>
  <si>
    <r>
      <t xml:space="preserve">果酒（含酒精）; 开胃酒; 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米酒; 食用酒精; 白酒; 黄酒</t>
    </r>
  </si>
  <si>
    <r>
      <t>海奔</t>
    </r>
    <r>
      <rPr>
        <sz val="11"/>
        <color theme="1"/>
        <rFont val="ＭＳ Ｐゴシック"/>
        <family val="3"/>
        <charset val="134"/>
        <scheme val="minor"/>
      </rPr>
      <t>汇</t>
    </r>
  </si>
  <si>
    <r>
      <t>江</t>
    </r>
    <r>
      <rPr>
        <sz val="11"/>
        <color theme="1"/>
        <rFont val="ＭＳ Ｐゴシック"/>
        <family val="3"/>
        <charset val="134"/>
        <scheme val="minor"/>
      </rPr>
      <t>苏</t>
    </r>
    <r>
      <rPr>
        <sz val="11"/>
        <color theme="1"/>
        <rFont val="ＭＳ Ｐゴシック"/>
        <family val="3"/>
        <charset val="128"/>
        <scheme val="minor"/>
      </rPr>
      <t>海奔</t>
    </r>
    <r>
      <rPr>
        <sz val="11"/>
        <color theme="1"/>
        <rFont val="ＭＳ Ｐゴシック"/>
        <family val="3"/>
        <charset val="134"/>
        <scheme val="minor"/>
      </rPr>
      <t>农业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</si>
  <si>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葡萄酒; 米酒</t>
    </r>
  </si>
  <si>
    <r>
      <t>壶</t>
    </r>
    <r>
      <rPr>
        <sz val="11"/>
        <color theme="1"/>
        <rFont val="ＭＳ Ｐゴシック"/>
        <family val="3"/>
        <charset val="128"/>
        <scheme val="minor"/>
      </rPr>
      <t>惑</t>
    </r>
  </si>
  <si>
    <r>
      <t>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祥康酒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</si>
  <si>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含酒精的水果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朗姆酒; 烈酒; 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白酒</t>
    </r>
  </si>
  <si>
    <t>云老五</t>
  </si>
  <si>
    <r>
      <t>王</t>
    </r>
    <r>
      <rPr>
        <sz val="11"/>
        <color theme="1"/>
        <rFont val="ＭＳ Ｐゴシック"/>
        <family val="3"/>
        <charset val="134"/>
        <scheme val="minor"/>
      </rPr>
      <t>顺</t>
    </r>
    <r>
      <rPr>
        <sz val="11"/>
        <color theme="1"/>
        <rFont val="ＭＳ Ｐゴシック"/>
        <family val="3"/>
        <charset val="128"/>
        <scheme val="minor"/>
      </rPr>
      <t>林</t>
    </r>
  </si>
  <si>
    <r>
      <t xml:space="preserve">果酒（含酒精）;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伏特加酒; 食用酒精;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苹果酒; 蜂蜜酒; 米酒</t>
    </r>
  </si>
  <si>
    <r>
      <t>红</t>
    </r>
    <r>
      <rPr>
        <sz val="11"/>
        <color theme="1"/>
        <rFont val="ＭＳ Ｐゴシック"/>
        <family val="3"/>
        <charset val="128"/>
        <scheme val="minor"/>
      </rPr>
      <t>小百</t>
    </r>
  </si>
  <si>
    <r>
      <t>安徽人</t>
    </r>
    <r>
      <rPr>
        <sz val="11"/>
        <color theme="1"/>
        <rFont val="ＭＳ Ｐゴシック"/>
        <family val="3"/>
        <charset val="134"/>
        <scheme val="minor"/>
      </rPr>
      <t>为贵</t>
    </r>
    <r>
      <rPr>
        <sz val="11"/>
        <color theme="1"/>
        <rFont val="ＭＳ Ｐゴシック"/>
        <family val="3"/>
        <charset val="128"/>
        <scheme val="minor"/>
      </rPr>
      <t>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</si>
  <si>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果酒; 白酒; 高粱酒; 果酒（含酒精）; 葡萄酒; 露酒</t>
    </r>
  </si>
  <si>
    <r>
      <t>晋</t>
    </r>
    <r>
      <rPr>
        <sz val="11"/>
        <color theme="1"/>
        <rFont val="ＭＳ Ｐゴシック"/>
        <family val="3"/>
        <charset val="134"/>
        <scheme val="minor"/>
      </rPr>
      <t>浓</t>
    </r>
    <r>
      <rPr>
        <sz val="11"/>
        <color theme="1"/>
        <rFont val="ＭＳ Ｐゴシック"/>
        <family val="3"/>
        <charset val="128"/>
        <scheme val="minor"/>
      </rPr>
      <t>秋月</t>
    </r>
  </si>
  <si>
    <r>
      <t>山西</t>
    </r>
    <r>
      <rPr>
        <sz val="11"/>
        <color theme="1"/>
        <rFont val="ＭＳ Ｐゴシック"/>
        <family val="3"/>
        <charset val="134"/>
        <scheme val="minor"/>
      </rPr>
      <t>蕴</t>
    </r>
    <r>
      <rPr>
        <sz val="11"/>
        <color theme="1"/>
        <rFont val="ＭＳ Ｐゴシック"/>
        <family val="3"/>
        <charset val="128"/>
        <scheme val="minor"/>
      </rPr>
      <t>能</t>
    </r>
    <r>
      <rPr>
        <sz val="11"/>
        <color theme="1"/>
        <rFont val="ＭＳ Ｐゴシック"/>
        <family val="3"/>
        <charset val="134"/>
        <scheme val="minor"/>
      </rPr>
      <t>农业</t>
    </r>
    <r>
      <rPr>
        <sz val="11"/>
        <color theme="1"/>
        <rFont val="ＭＳ Ｐゴシック"/>
        <family val="3"/>
        <charset val="128"/>
        <scheme val="minor"/>
      </rPr>
      <t>托管服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</si>
  <si>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开胃酒;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果酒（含酒精）; 利口酒;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</si>
  <si>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甜歌刘三姐</t>
  </si>
  <si>
    <r>
      <t>广西惠</t>
    </r>
    <r>
      <rPr>
        <sz val="11"/>
        <color theme="1"/>
        <rFont val="ＭＳ Ｐゴシック"/>
        <family val="3"/>
        <charset val="134"/>
        <scheme val="minor"/>
      </rPr>
      <t>联</t>
    </r>
    <r>
      <rPr>
        <sz val="11"/>
        <color theme="1"/>
        <rFont val="ＭＳ Ｐゴシック"/>
        <family val="3"/>
        <charset val="128"/>
        <scheme val="minor"/>
      </rPr>
      <t>生</t>
    </r>
    <r>
      <rPr>
        <sz val="11"/>
        <color theme="1"/>
        <rFont val="ＭＳ Ｐゴシック"/>
        <family val="3"/>
        <charset val="134"/>
        <scheme val="minor"/>
      </rPr>
      <t>态</t>
    </r>
    <r>
      <rPr>
        <sz val="11"/>
        <color theme="1"/>
        <rFont val="ＭＳ Ｐゴシック"/>
        <family val="3"/>
        <charset val="128"/>
        <scheme val="minor"/>
      </rPr>
      <t>科技有限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</si>
  <si>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葡萄酒; 米酒; 白酒; 梨酒; 食用酒精; 果酒（含酒精）; 清酒（日本米酒）;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</t>
    </r>
  </si>
  <si>
    <r>
      <t>清</t>
    </r>
    <r>
      <rPr>
        <sz val="11"/>
        <color theme="1"/>
        <rFont val="ＭＳ Ｐゴシック"/>
        <family val="3"/>
        <charset val="134"/>
        <scheme val="minor"/>
      </rPr>
      <t>风说</t>
    </r>
  </si>
  <si>
    <t>梁族勤</t>
  </si>
  <si>
    <r>
      <t xml:space="preserve">烈酒; 果酒（含酒精）; 清酒（日本米酒）; 威士忌; 黄酒;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葡萄酒</t>
    </r>
  </si>
  <si>
    <r>
      <t>应</t>
    </r>
    <r>
      <rPr>
        <sz val="11"/>
        <color theme="1"/>
        <rFont val="ＭＳ Ｐゴシック"/>
        <family val="3"/>
        <charset val="128"/>
        <scheme val="minor"/>
      </rPr>
      <t>人堂</t>
    </r>
  </si>
  <si>
    <r>
      <t>利口酒;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米酒; 果酒（含酒精）; 餐后酒（利口酒和烈酒）;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甜酒</t>
    </r>
  </si>
  <si>
    <r>
      <t>桃柏</t>
    </r>
    <r>
      <rPr>
        <sz val="11"/>
        <color theme="1"/>
        <rFont val="ＭＳ Ｐゴシック"/>
        <family val="3"/>
        <charset val="134"/>
        <scheme val="minor"/>
      </rPr>
      <t>丝</t>
    </r>
  </si>
  <si>
    <t>王金海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</si>
  <si>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伏特加酒; 果酒（含酒精）; 黄酒; 白酒; 高粱酒; 米酒</t>
    </r>
  </si>
  <si>
    <t>VIDKELER</t>
  </si>
  <si>
    <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威士忌;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开胃酒; 汽酒; 白酒;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</si>
  <si>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君和久</t>
  </si>
  <si>
    <t>廖莉萍</t>
  </si>
  <si>
    <r>
      <t>葡萄酒; 米酒; 黄酒; 清酒; 白酒; 白干酒（中国白酒）; 食用酒精;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</si>
  <si>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奇治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奇</t>
    </r>
  </si>
  <si>
    <r>
      <t>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青稞酒;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米酒;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</si>
  <si>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海</t>
    </r>
    <r>
      <rPr>
        <sz val="11"/>
        <color theme="1"/>
        <rFont val="ＭＳ Ｐゴシック"/>
        <family val="3"/>
        <charset val="134"/>
        <scheme val="minor"/>
      </rPr>
      <t>岛</t>
    </r>
    <r>
      <rPr>
        <sz val="11"/>
        <color theme="1"/>
        <rFont val="ＭＳ Ｐゴシック"/>
        <family val="3"/>
        <charset val="128"/>
        <scheme val="minor"/>
      </rPr>
      <t>开始</t>
    </r>
  </si>
  <si>
    <r>
      <t>赛</t>
    </r>
    <r>
      <rPr>
        <sz val="11"/>
        <color theme="1"/>
        <rFont val="ＭＳ Ｐゴシック"/>
        <family val="3"/>
        <charset val="128"/>
        <scheme val="minor"/>
      </rPr>
      <t>百泉（广州）食品有限公司</t>
    </r>
  </si>
  <si>
    <r>
      <t>果酒（含酒精）; 威士忌; 葡萄酒; 果酒; 汽酒; 苹果酒; 烈酒; 甜酒;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</t>
    </r>
  </si>
  <si>
    <r>
      <t>互市吉海</t>
    </r>
    <r>
      <rPr>
        <sz val="11"/>
        <color theme="1"/>
        <rFont val="ＭＳ Ｐゴシック"/>
        <family val="3"/>
        <charset val="134"/>
        <scheme val="minor"/>
      </rPr>
      <t>汇</t>
    </r>
  </si>
  <si>
    <r>
      <t xml:space="preserve">蜂蜜酒; </t>
    </r>
    <r>
      <rPr>
        <sz val="11"/>
        <color theme="1"/>
        <rFont val="ＭＳ Ｐゴシック"/>
        <family val="3"/>
        <charset val="134"/>
        <scheme val="minor"/>
      </rPr>
      <t>马</t>
    </r>
    <r>
      <rPr>
        <sz val="11"/>
        <color theme="1"/>
        <rFont val="ＭＳ Ｐゴシック"/>
        <family val="3"/>
        <charset val="128"/>
        <scheme val="minor"/>
      </rPr>
      <t>格利酒（朝</t>
    </r>
    <r>
      <rPr>
        <sz val="11"/>
        <color theme="1"/>
        <rFont val="ＭＳ Ｐゴシック"/>
        <family val="3"/>
        <charset val="134"/>
        <scheme val="minor"/>
      </rPr>
      <t>鲜传统</t>
    </r>
    <r>
      <rPr>
        <sz val="11"/>
        <color theme="1"/>
        <rFont val="ＭＳ Ｐゴシック"/>
        <family val="3"/>
        <charset val="128"/>
        <scheme val="minor"/>
      </rPr>
      <t xml:space="preserve">米酒）; 甜果酒; 葡萄酒; 黄酒; 果酒（含酒精）; 米酒; 白酒; 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</si>
  <si>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帝皇紫气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来</t>
    </r>
  </si>
  <si>
    <r>
      <t>高淑</t>
    </r>
    <r>
      <rPr>
        <sz val="11"/>
        <color theme="1"/>
        <rFont val="ＭＳ Ｐゴシック"/>
        <family val="3"/>
        <charset val="134"/>
        <scheme val="minor"/>
      </rPr>
      <t>颖</t>
    </r>
  </si>
  <si>
    <r>
      <t xml:space="preserve">黄酒; 白酒; 米酒; 葡萄酒;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</si>
  <si>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棠克</t>
  </si>
  <si>
    <t>泉州棠克科技有限公司</t>
  </si>
  <si>
    <r>
      <t>苦味酒;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薄荷酒; 苹果酒; 茴芹酒（利口酒）; 开胃酒; 茴香酒（利口酒）; </t>
    </r>
    <r>
      <rPr>
        <sz val="11"/>
        <color theme="1"/>
        <rFont val="ＭＳ Ｐゴシック"/>
        <family val="3"/>
        <charset val="134"/>
        <scheme val="minor"/>
      </rPr>
      <t>亚</t>
    </r>
    <r>
      <rPr>
        <sz val="11"/>
        <color theme="1"/>
        <rFont val="ＭＳ Ｐゴシック"/>
        <family val="3"/>
        <charset val="128"/>
        <scheme val="minor"/>
      </rPr>
      <t>力酒; 果酒（含酒精）</t>
    </r>
  </si>
  <si>
    <r>
      <t>明德</t>
    </r>
    <r>
      <rPr>
        <sz val="11"/>
        <color theme="1"/>
        <rFont val="ＭＳ Ｐゴシック"/>
        <family val="3"/>
        <charset val="134"/>
        <scheme val="minor"/>
      </rPr>
      <t>农</t>
    </r>
    <r>
      <rPr>
        <sz val="11"/>
        <color theme="1"/>
        <rFont val="ＭＳ Ｐゴシック"/>
        <family val="3"/>
        <charset val="128"/>
        <scheme val="minor"/>
      </rPr>
      <t>夫</t>
    </r>
  </si>
  <si>
    <r>
      <t>肇</t>
    </r>
    <r>
      <rPr>
        <sz val="11"/>
        <color theme="1"/>
        <rFont val="ＭＳ Ｐゴシック"/>
        <family val="3"/>
        <charset val="134"/>
        <scheme val="minor"/>
      </rPr>
      <t>庆</t>
    </r>
    <r>
      <rPr>
        <sz val="11"/>
        <color theme="1"/>
        <rFont val="ＭＳ Ｐゴシック"/>
        <family val="3"/>
        <charset val="128"/>
        <scheme val="minor"/>
      </rPr>
      <t>明德商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</si>
  <si>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威士忌; 米酒; 食用酒精;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</si>
  <si>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唐</t>
    </r>
    <r>
      <rPr>
        <sz val="11"/>
        <color theme="1"/>
        <rFont val="ＭＳ Ｐゴシック"/>
        <family val="3"/>
        <charset val="134"/>
        <scheme val="minor"/>
      </rPr>
      <t>欢</t>
    </r>
    <r>
      <rPr>
        <sz val="11"/>
        <color theme="1"/>
        <rFont val="ＭＳ Ｐゴシック"/>
        <family val="3"/>
        <charset val="128"/>
        <scheme val="minor"/>
      </rPr>
      <t>蒋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</si>
  <si>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清酒;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威士忌</t>
    </r>
  </si>
  <si>
    <r>
      <t>广安</t>
    </r>
    <r>
      <rPr>
        <sz val="11"/>
        <color theme="1"/>
        <rFont val="ＭＳ Ｐゴシック"/>
        <family val="3"/>
        <charset val="134"/>
        <scheme val="minor"/>
      </rPr>
      <t>邓</t>
    </r>
    <r>
      <rPr>
        <sz val="11"/>
        <color theme="1"/>
        <rFont val="ＭＳ Ｐゴシック"/>
        <family val="3"/>
        <charset val="128"/>
        <scheme val="minor"/>
      </rPr>
      <t>园文化旅游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</si>
  <si>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餐后酒（利口酒和烈酒）; 利口酒;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威士忌;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清酒（日本米酒）</t>
    </r>
  </si>
  <si>
    <t>云襄泉</t>
  </si>
  <si>
    <t>王彬</t>
  </si>
  <si>
    <r>
      <t xml:space="preserve">伏特加酒;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果酒（含酒精）;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>酒; 威士忌; 米酒; 清酒</t>
    </r>
  </si>
  <si>
    <r>
      <t>君</t>
    </r>
    <r>
      <rPr>
        <sz val="11"/>
        <color theme="1"/>
        <rFont val="ＭＳ Ｐゴシック"/>
        <family val="3"/>
        <charset val="134"/>
        <scheme val="minor"/>
      </rPr>
      <t>赐</t>
    </r>
    <r>
      <rPr>
        <sz val="11"/>
        <color theme="1"/>
        <rFont val="ＭＳ Ｐゴシック"/>
        <family val="3"/>
        <charset val="128"/>
        <scheme val="minor"/>
      </rPr>
      <t>酒鼎</t>
    </r>
  </si>
  <si>
    <r>
      <t>汤</t>
    </r>
    <r>
      <rPr>
        <sz val="11"/>
        <color theme="1"/>
        <rFont val="ＭＳ Ｐゴシック"/>
        <family val="3"/>
        <charset val="128"/>
        <scheme val="minor"/>
      </rPr>
      <t>忠明</t>
    </r>
  </si>
  <si>
    <r>
      <t>白酒;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清酒;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葡萄酒; 果酒（含酒精）</t>
    </r>
  </si>
  <si>
    <r>
      <t>爱</t>
    </r>
    <r>
      <rPr>
        <sz val="11"/>
        <color theme="1"/>
        <rFont val="ＭＳ Ｐゴシック"/>
        <family val="3"/>
        <charset val="128"/>
        <scheme val="minor"/>
      </rPr>
      <t>之初</t>
    </r>
    <r>
      <rPr>
        <sz val="11"/>
        <color theme="1"/>
        <rFont val="ＭＳ Ｐゴシック"/>
        <family val="3"/>
        <charset val="134"/>
        <scheme val="minor"/>
      </rPr>
      <t>长</t>
    </r>
    <r>
      <rPr>
        <sz val="11"/>
        <color theme="1"/>
        <rFont val="ＭＳ Ｐゴシック"/>
        <family val="3"/>
        <charset val="128"/>
        <scheme val="minor"/>
      </rPr>
      <t>泉</t>
    </r>
  </si>
  <si>
    <r>
      <t>如</t>
    </r>
    <r>
      <rPr>
        <sz val="11"/>
        <color theme="1"/>
        <rFont val="ＭＳ Ｐゴシック"/>
        <family val="3"/>
        <charset val="134"/>
        <scheme val="minor"/>
      </rPr>
      <t>东县</t>
    </r>
    <r>
      <rPr>
        <sz val="11"/>
        <color theme="1"/>
        <rFont val="ＭＳ Ｐゴシック"/>
        <family val="3"/>
        <charset val="128"/>
        <scheme val="minor"/>
      </rPr>
      <t>虹</t>
    </r>
    <r>
      <rPr>
        <sz val="11"/>
        <color theme="1"/>
        <rFont val="ＭＳ Ｐゴシック"/>
        <family val="3"/>
        <charset val="134"/>
        <scheme val="minor"/>
      </rPr>
      <t>桥</t>
    </r>
    <r>
      <rPr>
        <sz val="11"/>
        <color theme="1"/>
        <rFont val="ＭＳ Ｐゴシック"/>
        <family val="3"/>
        <charset val="128"/>
        <scheme val="minor"/>
      </rPr>
      <t>家庭</t>
    </r>
    <r>
      <rPr>
        <sz val="11"/>
        <color theme="1"/>
        <rFont val="ＭＳ Ｐゴシック"/>
        <family val="3"/>
        <charset val="134"/>
        <scheme val="minor"/>
      </rPr>
      <t>农场</t>
    </r>
  </si>
  <si>
    <r>
      <t>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米酒; 苹果酒;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白酒; 葡萄酒; 黄酒; 果酒（含酒精）; 梅酒; 梨酒</t>
    </r>
  </si>
  <si>
    <t>CAPPLY 开普莱</t>
  </si>
  <si>
    <r>
      <t>中航精密（北京）工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技</t>
    </r>
    <r>
      <rPr>
        <sz val="11"/>
        <color theme="1"/>
        <rFont val="ＭＳ Ｐゴシック"/>
        <family val="3"/>
        <charset val="134"/>
        <scheme val="minor"/>
      </rPr>
      <t>术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</si>
  <si>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伏特加酒;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食用酒精; 威士忌; 白酒</t>
    </r>
  </si>
  <si>
    <r>
      <t>苏赐</t>
    </r>
    <r>
      <rPr>
        <sz val="11"/>
        <color theme="1"/>
        <rFont val="ＭＳ Ｐゴシック"/>
        <family val="3"/>
        <charset val="128"/>
        <scheme val="minor"/>
      </rPr>
      <t>美</t>
    </r>
  </si>
  <si>
    <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果酒; 威士忌; 白酒; 汽酒; 清酒;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黄酒</t>
    </r>
  </si>
  <si>
    <t>自己的王者</t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</si>
  <si>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露酒; 水果汽酒;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蒸煮提取物（利口酒和烈酒）; 甜酒; 天然汽酒;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</t>
    </r>
  </si>
  <si>
    <t>亨通吉祥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</si>
  <si>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市台掌柜酒</t>
    </r>
    <r>
      <rPr>
        <sz val="11"/>
        <color theme="1"/>
        <rFont val="ＭＳ Ｐゴシック"/>
        <family val="3"/>
        <charset val="134"/>
        <scheme val="minor"/>
      </rPr>
      <t>业销</t>
    </r>
    <r>
      <rPr>
        <sz val="11"/>
        <color theme="1"/>
        <rFont val="ＭＳ Ｐゴシック"/>
        <family val="3"/>
        <charset val="128"/>
        <scheme val="minor"/>
      </rPr>
      <t>售有限公司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</si>
  <si>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米酒; 开胃酒; 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果酒（含酒精）; 葡萄酒</t>
    </r>
  </si>
  <si>
    <t>元亨永</t>
  </si>
  <si>
    <r>
      <t>山西省祁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元盛德手工老醋坊</t>
    </r>
  </si>
  <si>
    <r>
      <t>白干酒（中国白酒）;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清酒;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米酒（泡盛酒）; 以蒸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主的开胃酒; 果酒（含酒精）; 开胃酒; 白酒;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</si>
  <si>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河北</t>
    </r>
    <r>
      <rPr>
        <sz val="11"/>
        <color theme="1"/>
        <rFont val="ＭＳ Ｐゴシック"/>
        <family val="3"/>
        <charset val="134"/>
        <scheme val="minor"/>
      </rPr>
      <t>联兴</t>
    </r>
    <r>
      <rPr>
        <sz val="11"/>
        <color theme="1"/>
        <rFont val="ＭＳ Ｐゴシック"/>
        <family val="3"/>
        <charset val="128"/>
        <scheme val="minor"/>
      </rPr>
      <t>佳垚</t>
    </r>
    <r>
      <rPr>
        <sz val="11"/>
        <color theme="1"/>
        <rFont val="ＭＳ Ｐゴシック"/>
        <family val="3"/>
        <charset val="134"/>
        <scheme val="minor"/>
      </rPr>
      <t>农业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</si>
  <si>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米酒;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</t>
    </r>
  </si>
  <si>
    <t>塞外熙夏醉</t>
  </si>
  <si>
    <t>王娜娜</t>
  </si>
  <si>
    <r>
      <t>果酒（含酒精）; 利口酒;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白酒; 葡萄酒; 餐后酒（利口酒和烈酒）;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食用酒精</t>
    </r>
  </si>
  <si>
    <t>承隆旺</t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</si>
  <si>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葡萄酒; 米酒</t>
    </r>
  </si>
  <si>
    <r>
      <t>华</t>
    </r>
    <r>
      <rPr>
        <sz val="11"/>
        <color theme="1"/>
        <rFont val="ＭＳ Ｐゴシック"/>
        <family val="3"/>
        <charset val="128"/>
        <scheme val="minor"/>
      </rPr>
      <t>狄</t>
    </r>
  </si>
  <si>
    <r>
      <t>吴</t>
    </r>
    <r>
      <rPr>
        <sz val="11"/>
        <color theme="1"/>
        <rFont val="ＭＳ Ｐゴシック"/>
        <family val="3"/>
        <charset val="134"/>
        <scheme val="minor"/>
      </rPr>
      <t>晓</t>
    </r>
    <r>
      <rPr>
        <sz val="11"/>
        <color theme="1"/>
        <rFont val="ＭＳ Ｐゴシック"/>
        <family val="3"/>
        <charset val="128"/>
        <scheme val="minor"/>
      </rPr>
      <t>林</t>
    </r>
  </si>
  <si>
    <r>
      <t xml:space="preserve">清酒（日本米酒）;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果酒（含酒精）;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威士忌</t>
    </r>
  </si>
  <si>
    <r>
      <t>罄</t>
    </r>
    <r>
      <rPr>
        <sz val="11"/>
        <color theme="1"/>
        <rFont val="ＭＳ Ｐゴシック"/>
        <family val="3"/>
        <charset val="134"/>
        <scheme val="minor"/>
      </rPr>
      <t>纺颜</t>
    </r>
  </si>
  <si>
    <r>
      <t>宜春励行</t>
    </r>
    <r>
      <rPr>
        <sz val="11"/>
        <color theme="1"/>
        <rFont val="ＭＳ Ｐゴシック"/>
        <family val="3"/>
        <charset val="134"/>
        <scheme val="minor"/>
      </rPr>
      <t>电</t>
    </r>
    <r>
      <rPr>
        <sz val="11"/>
        <color theme="1"/>
        <rFont val="ＭＳ Ｐゴシック"/>
        <family val="3"/>
        <charset val="128"/>
        <scheme val="minor"/>
      </rPr>
      <t>子商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</si>
  <si>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米酒;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开胃酒; 果酒; 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</t>
    </r>
  </si>
  <si>
    <t>舜全醉</t>
  </si>
  <si>
    <r>
      <t>桂林栢</t>
    </r>
    <r>
      <rPr>
        <sz val="11"/>
        <color theme="1"/>
        <rFont val="ＭＳ Ｐゴシック"/>
        <family val="3"/>
        <charset val="134"/>
        <scheme val="minor"/>
      </rPr>
      <t>汇</t>
    </r>
    <r>
      <rPr>
        <sz val="11"/>
        <color theme="1"/>
        <rFont val="ＭＳ Ｐゴシック"/>
        <family val="3"/>
        <charset val="128"/>
        <scheme val="minor"/>
      </rPr>
      <t>养老</t>
    </r>
    <r>
      <rPr>
        <sz val="11"/>
        <color theme="1"/>
        <rFont val="ＭＳ Ｐゴシック"/>
        <family val="3"/>
        <charset val="134"/>
        <scheme val="minor"/>
      </rPr>
      <t>产业</t>
    </r>
    <r>
      <rPr>
        <sz val="11"/>
        <color theme="1"/>
        <rFont val="ＭＳ Ｐゴシック"/>
        <family val="3"/>
        <charset val="128"/>
        <scheme val="minor"/>
      </rPr>
      <t>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</si>
  <si>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开胃酒;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伏特加酒; 白酒; 葡萄酒;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朗姆酒; 黄酒</t>
    </r>
  </si>
  <si>
    <t>胎兮兮</t>
  </si>
  <si>
    <r>
      <t>重</t>
    </r>
    <r>
      <rPr>
        <sz val="11"/>
        <color theme="1"/>
        <rFont val="ＭＳ Ｐゴシック"/>
        <family val="3"/>
        <charset val="134"/>
        <scheme val="minor"/>
      </rPr>
      <t>庆</t>
    </r>
    <r>
      <rPr>
        <sz val="11"/>
        <color theme="1"/>
        <rFont val="ＭＳ Ｐゴシック"/>
        <family val="3"/>
        <charset val="128"/>
        <scheme val="minor"/>
      </rPr>
      <t>市胎兮兮汽</t>
    </r>
    <r>
      <rPr>
        <sz val="11"/>
        <color theme="1"/>
        <rFont val="ＭＳ Ｐゴシック"/>
        <family val="3"/>
        <charset val="134"/>
        <scheme val="minor"/>
      </rPr>
      <t>车</t>
    </r>
    <r>
      <rPr>
        <sz val="11"/>
        <color theme="1"/>
        <rFont val="ＭＳ Ｐゴシック"/>
        <family val="3"/>
        <charset val="128"/>
        <scheme val="minor"/>
      </rPr>
      <t>服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</si>
  <si>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葡萄酒</t>
    </r>
  </si>
  <si>
    <r>
      <t>东</t>
    </r>
    <r>
      <rPr>
        <sz val="11"/>
        <color theme="1"/>
        <rFont val="ＭＳ Ｐゴシック"/>
        <family val="3"/>
        <charset val="128"/>
        <scheme val="minor"/>
      </rPr>
      <t>来喜</t>
    </r>
  </si>
  <si>
    <r>
      <t>果酒（含酒精）; 白酒;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葡萄酒; 汽酒; 米酒;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威士忌</t>
    </r>
  </si>
  <si>
    <t>瑶依妹</t>
  </si>
  <si>
    <r>
      <t>瑶妹（广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）健康教育科技有限公司</t>
    </r>
  </si>
  <si>
    <r>
      <t>蒸煮提取物（利口酒和烈酒）;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果酒（含酒精）;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米酒</t>
    </r>
  </si>
  <si>
    <r>
      <t>蒜客</t>
    </r>
    <r>
      <rPr>
        <sz val="11"/>
        <color theme="1"/>
        <rFont val="ＭＳ Ｐゴシック"/>
        <family val="3"/>
        <charset val="129"/>
        <scheme val="minor"/>
      </rPr>
      <t>优</t>
    </r>
  </si>
  <si>
    <r>
      <t>金</t>
    </r>
    <r>
      <rPr>
        <sz val="11"/>
        <color theme="1"/>
        <rFont val="ＭＳ Ｐゴシック"/>
        <family val="3"/>
        <charset val="134"/>
        <scheme val="minor"/>
      </rPr>
      <t>乡</t>
    </r>
    <r>
      <rPr>
        <sz val="11"/>
        <color theme="1"/>
        <rFont val="ＭＳ Ｐゴシック"/>
        <family val="3"/>
        <charset val="128"/>
        <scheme val="minor"/>
      </rPr>
      <t>蒜客</t>
    </r>
    <r>
      <rPr>
        <sz val="11"/>
        <color theme="1"/>
        <rFont val="ＭＳ Ｐゴシック"/>
        <family val="3"/>
        <charset val="129"/>
        <scheme val="minor"/>
      </rPr>
      <t>优</t>
    </r>
    <r>
      <rPr>
        <sz val="11"/>
        <color theme="1"/>
        <rFont val="ＭＳ Ｐゴシック"/>
        <family val="3"/>
        <charset val="134"/>
        <scheme val="minor"/>
      </rPr>
      <t>电</t>
    </r>
    <r>
      <rPr>
        <sz val="11"/>
        <color theme="1"/>
        <rFont val="ＭＳ Ｐゴシック"/>
        <family val="3"/>
        <charset val="128"/>
        <scheme val="minor"/>
      </rPr>
      <t>子商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</si>
  <si>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白酒; 含牛奶的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食用酒精;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清酒（日本米酒）; 青稞酒;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</si>
  <si>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山跟前</t>
  </si>
  <si>
    <r>
      <t>十堰市福海鼎</t>
    </r>
    <r>
      <rPr>
        <sz val="11"/>
        <color theme="1"/>
        <rFont val="ＭＳ Ｐゴシック"/>
        <family val="3"/>
        <charset val="134"/>
        <scheme val="minor"/>
      </rPr>
      <t>顺贸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</si>
  <si>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青稞酒</t>
    </r>
  </si>
  <si>
    <r>
      <t>蜜蜂</t>
    </r>
    <r>
      <rPr>
        <sz val="11"/>
        <color theme="1"/>
        <rFont val="ＭＳ Ｐゴシック"/>
        <family val="3"/>
        <charset val="134"/>
        <scheme val="minor"/>
      </rPr>
      <t>邻</t>
    </r>
    <r>
      <rPr>
        <sz val="11"/>
        <color theme="1"/>
        <rFont val="ＭＳ Ｐゴシック"/>
        <family val="3"/>
        <charset val="128"/>
        <scheme val="minor"/>
      </rPr>
      <t>居</t>
    </r>
  </si>
  <si>
    <t>王人麟</t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</si>
  <si>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薄荷酒; 葡萄酒; 清酒; 米酒; 苹果酒; 白酒; 烈酒; 果酒（含酒精）</t>
    </r>
  </si>
  <si>
    <r>
      <t>华</t>
    </r>
    <r>
      <rPr>
        <sz val="11"/>
        <color theme="1"/>
        <rFont val="ＭＳ Ｐゴシック"/>
        <family val="3"/>
        <charset val="128"/>
        <scheme val="minor"/>
      </rPr>
      <t>而</t>
    </r>
  </si>
  <si>
    <r>
      <t xml:space="preserve">白酒; 蜂蜜酒;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开胃酒;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清酒（日本米酒）;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</si>
  <si>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纳</t>
    </r>
    <r>
      <rPr>
        <sz val="11"/>
        <color theme="1"/>
        <rFont val="ＭＳ Ｐゴシック"/>
        <family val="3"/>
        <charset val="128"/>
        <scheme val="minor"/>
      </rPr>
      <t>粒</t>
    </r>
  </si>
  <si>
    <t>广州粒上皇食品有限公司</t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</si>
  <si>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青梅酒; 含牛奶的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果酒; 清酒; 苹果酒; 甜酒;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薄荷酒</t>
    </r>
  </si>
  <si>
    <t>养宁堂</t>
  </si>
  <si>
    <r>
      <t>王</t>
    </r>
    <r>
      <rPr>
        <sz val="11"/>
        <color theme="1"/>
        <rFont val="ＭＳ Ｐゴシック"/>
        <family val="3"/>
        <charset val="134"/>
        <scheme val="minor"/>
      </rPr>
      <t>丽</t>
    </r>
    <r>
      <rPr>
        <sz val="11"/>
        <color theme="1"/>
        <rFont val="ＭＳ Ｐゴシック"/>
        <family val="3"/>
        <charset val="128"/>
        <scheme val="minor"/>
      </rPr>
      <t>娜</t>
    </r>
  </si>
  <si>
    <r>
      <t>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米酒; 葡萄汽酒; 果酒（含酒精）; 桃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葡萄酒; 起泡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</t>
    </r>
  </si>
  <si>
    <t>塞北匠</t>
  </si>
  <si>
    <r>
      <t>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青稞酒; 威士忌; 烈酒; 白酒; 果酒（含酒精）; 清酒（日本米酒）</t>
    </r>
  </si>
  <si>
    <r>
      <t>王者</t>
    </r>
    <r>
      <rPr>
        <sz val="11"/>
        <color theme="1"/>
        <rFont val="ＭＳ Ｐゴシック"/>
        <family val="3"/>
        <charset val="134"/>
        <scheme val="minor"/>
      </rPr>
      <t>总动员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</si>
  <si>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天然汽酒; 露酒;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甜酒;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蒸煮提取物（利口酒和烈酒）; 水果汽酒;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</si>
  <si>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r>
      <t>悦月</t>
    </r>
    <r>
      <rPr>
        <sz val="11"/>
        <color theme="1"/>
        <rFont val="ＭＳ Ｐゴシック"/>
        <family val="3"/>
        <charset val="134"/>
        <scheme val="minor"/>
      </rPr>
      <t>顺</t>
    </r>
  </si>
  <si>
    <r>
      <t>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葡萄酒;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清酒（日本米酒）; 开胃酒;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</si>
  <si>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丰粒羽毛</t>
  </si>
  <si>
    <r>
      <t>蜂蜜酒;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青稞酒; 果酒（含酒精）; 开胃酒; 葡萄酒; 伏特加酒; 白酒; 米酒</t>
    </r>
  </si>
  <si>
    <r>
      <t>丰粒羽</t>
    </r>
    <r>
      <rPr>
        <sz val="11"/>
        <color theme="1"/>
        <rFont val="ＭＳ Ｐゴシック"/>
        <family val="3"/>
        <charset val="134"/>
        <scheme val="minor"/>
      </rPr>
      <t>跃</t>
    </r>
  </si>
  <si>
    <r>
      <t>蜂蜜酒; 青稞酒; 开胃酒; 葡萄酒; 伏特加酒; 米酒; 白酒;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</si>
  <si>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与醉</t>
  </si>
  <si>
    <r>
      <t>山西</t>
    </r>
    <r>
      <rPr>
        <sz val="11"/>
        <color theme="1"/>
        <rFont val="ＭＳ Ｐゴシック"/>
        <family val="3"/>
        <charset val="134"/>
        <scheme val="minor"/>
      </rPr>
      <t>观</t>
    </r>
    <r>
      <rPr>
        <sz val="11"/>
        <color theme="1"/>
        <rFont val="ＭＳ Ｐゴシック"/>
        <family val="3"/>
        <charset val="128"/>
        <scheme val="minor"/>
      </rPr>
      <t>汾商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</si>
  <si>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烈酒;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露酒;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白酒;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</si>
  <si>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t>松程</t>
  </si>
  <si>
    <r>
      <t xml:space="preserve">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清酒（日本米酒）; 甜酒; 高粱酒;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</t>
    </r>
  </si>
  <si>
    <r>
      <t>逍遥</t>
    </r>
    <r>
      <rPr>
        <sz val="11"/>
        <color theme="1"/>
        <rFont val="ＭＳ Ｐゴシック"/>
        <family val="3"/>
        <charset val="134"/>
        <scheme val="minor"/>
      </rPr>
      <t>玺</t>
    </r>
  </si>
  <si>
    <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朗姆酒; 伏特加酒;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烈酒;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露酒</t>
    </r>
  </si>
  <si>
    <t>帝皇岭</t>
  </si>
  <si>
    <r>
      <t xml:space="preserve">白酒;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朗姆酒; 黄酒; 露酒;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烈酒; 伏特加酒</t>
    </r>
  </si>
  <si>
    <t>朗秋酩</t>
  </si>
  <si>
    <t>林佳霓</t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</si>
  <si>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威士忌;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</t>
    </r>
  </si>
  <si>
    <t>禾璟</t>
  </si>
  <si>
    <t>安徽子雅科技有限公司</t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</si>
  <si>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黄酒; 青稞酒; 薄荷酒; 食用酒精; 果酒（含酒精）; 茴香酒（利口酒）; 开胃酒</t>
    </r>
  </si>
  <si>
    <t>晋元隆</t>
  </si>
  <si>
    <r>
      <t>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以蒸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主的开胃酒; 清酒;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米酒（泡盛酒）;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酒; 果酒（含酒精）; 开胃酒; 白酒; 白干酒（中国白酒）;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</si>
  <si>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HERBATHERM</t>
  </si>
  <si>
    <r>
      <t>湖北与行供</t>
    </r>
    <r>
      <rPr>
        <sz val="11"/>
        <color theme="1"/>
        <rFont val="ＭＳ Ｐゴシック"/>
        <family val="3"/>
        <charset val="134"/>
        <scheme val="minor"/>
      </rPr>
      <t>热</t>
    </r>
    <r>
      <rPr>
        <sz val="11"/>
        <color theme="1"/>
        <rFont val="ＭＳ Ｐゴシック"/>
        <family val="3"/>
        <charset val="128"/>
        <scheme val="minor"/>
      </rPr>
      <t>技</t>
    </r>
    <r>
      <rPr>
        <sz val="11"/>
        <color theme="1"/>
        <rFont val="ＭＳ Ｐゴシック"/>
        <family val="3"/>
        <charset val="134"/>
        <scheme val="minor"/>
      </rPr>
      <t>术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</si>
  <si>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清酒（日本米酒）;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葡萄酒; 威士忌; 米酒; 高粱酒;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</si>
  <si>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稻花春</t>
  </si>
  <si>
    <r>
      <t>湖北稻花香酒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股份有限公司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</si>
  <si>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烈酒; 黄酒; 白酒; 米酒; 开胃酒; 葡萄酒;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</si>
  <si>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t>千古呈祥</t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</si>
  <si>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高粱酒; 清酒（日本米酒）; 烈酒; 白干酒（中国白酒）;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</t>
    </r>
  </si>
  <si>
    <t>蒙幸福</t>
  </si>
  <si>
    <t>屈孝国</t>
  </si>
  <si>
    <r>
      <t>果酒（含酒精）;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白酒; 青稞酒; 清酒（日本米酒）;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</si>
  <si>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玉福老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</si>
  <si>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州玉福酒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（集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）有限公司</t>
    </r>
  </si>
  <si>
    <r>
      <t xml:space="preserve">白酒; 烈酒; 甜酒; 高粱酒;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米酒; 果酒</t>
    </r>
  </si>
  <si>
    <t>吴俊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</si>
  <si>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黄酒; 葡萄酒;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果酒; 清酒</t>
    </r>
  </si>
  <si>
    <r>
      <t>姚氏南果丫</t>
    </r>
    <r>
      <rPr>
        <sz val="11"/>
        <color theme="1"/>
        <rFont val="ＭＳ Ｐゴシック"/>
        <family val="3"/>
        <charset val="134"/>
        <scheme val="minor"/>
      </rPr>
      <t>头</t>
    </r>
  </si>
  <si>
    <t>姚素荣</t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</si>
  <si>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利口酒;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起泡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梨酒</t>
    </r>
  </si>
  <si>
    <t>元游</t>
  </si>
  <si>
    <r>
      <t>上海</t>
    </r>
    <r>
      <rPr>
        <sz val="11"/>
        <color theme="1"/>
        <rFont val="ＭＳ Ｐゴシック"/>
        <family val="3"/>
        <charset val="134"/>
        <scheme val="minor"/>
      </rPr>
      <t>积</t>
    </r>
    <r>
      <rPr>
        <sz val="11"/>
        <color theme="1"/>
        <rFont val="ＭＳ Ｐゴシック"/>
        <family val="3"/>
        <charset val="128"/>
        <scheme val="minor"/>
      </rPr>
      <t>鋆文化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媒有限公司</t>
    </r>
  </si>
  <si>
    <r>
      <t>食用酒精;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黄酒; 米酒; 威士忌</t>
    </r>
  </si>
  <si>
    <t>桂品佳良</t>
  </si>
  <si>
    <t>黄才朝</t>
  </si>
  <si>
    <r>
      <t>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</t>
    </r>
  </si>
  <si>
    <r>
      <t>乐观</t>
    </r>
    <r>
      <rPr>
        <sz val="11"/>
        <color theme="1"/>
        <rFont val="ＭＳ Ｐゴシック"/>
        <family val="3"/>
        <charset val="128"/>
        <scheme val="minor"/>
      </rPr>
      <t>瞬</t>
    </r>
    <r>
      <rPr>
        <sz val="11"/>
        <color theme="1"/>
        <rFont val="ＭＳ Ｐゴシック"/>
        <family val="3"/>
        <charset val="134"/>
        <scheme val="minor"/>
      </rPr>
      <t>间</t>
    </r>
  </si>
  <si>
    <r>
      <t>成都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双鑫包装制品有限公司</t>
    </r>
  </si>
  <si>
    <r>
      <t xml:space="preserve">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露酒; 烈酒; 梅酒; 米酒; 白酒; 葡萄酒; 甜酒</t>
    </r>
  </si>
  <si>
    <r>
      <t>紫气圣</t>
    </r>
    <r>
      <rPr>
        <sz val="11"/>
        <color theme="1"/>
        <rFont val="ＭＳ Ｐゴシック"/>
        <family val="3"/>
        <charset val="134"/>
        <scheme val="minor"/>
      </rPr>
      <t>贤</t>
    </r>
  </si>
  <si>
    <r>
      <t>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食用酒精; 威士忌;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果酒（含酒精）; 白酒</t>
    </r>
  </si>
  <si>
    <r>
      <t>瑞</t>
    </r>
    <r>
      <rPr>
        <sz val="11"/>
        <color theme="1"/>
        <rFont val="ＭＳ Ｐゴシック"/>
        <family val="3"/>
        <charset val="134"/>
        <scheme val="minor"/>
      </rPr>
      <t>满</t>
    </r>
    <r>
      <rPr>
        <sz val="11"/>
        <color theme="1"/>
        <rFont val="ＭＳ Ｐゴシック"/>
        <family val="3"/>
        <charset val="128"/>
        <scheme val="minor"/>
      </rPr>
      <t>盛</t>
    </r>
  </si>
  <si>
    <r>
      <t>上海尊</t>
    </r>
    <r>
      <rPr>
        <sz val="11"/>
        <color theme="1"/>
        <rFont val="ＭＳ Ｐゴシック"/>
        <family val="3"/>
        <charset val="134"/>
        <scheme val="minor"/>
      </rPr>
      <t>满</t>
    </r>
    <r>
      <rPr>
        <sz val="11"/>
        <color theme="1"/>
        <rFont val="ＭＳ Ｐゴシック"/>
        <family val="3"/>
        <charset val="128"/>
        <scheme val="minor"/>
      </rPr>
      <t>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</si>
  <si>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 xml:space="preserve">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烈酒; 白酒; 青稞酒; 餐后酒（利口酒和烈酒）; 葡萄酒; 米酒; 清酒;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</si>
  <si>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r>
      <t>宁波厚</t>
    </r>
    <r>
      <rPr>
        <sz val="11"/>
        <color theme="1"/>
        <rFont val="ＭＳ Ｐゴシック"/>
        <family val="3"/>
        <charset val="134"/>
        <scheme val="minor"/>
      </rPr>
      <t>储</t>
    </r>
    <r>
      <rPr>
        <sz val="11"/>
        <color theme="1"/>
        <rFont val="ＭＳ Ｐゴシック"/>
        <family val="3"/>
        <charset val="128"/>
        <scheme val="minor"/>
      </rPr>
      <t>控股有限公司</t>
    </r>
  </si>
  <si>
    <r>
      <t xml:space="preserve">黄酒;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</si>
  <si>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安博</t>
    </r>
    <r>
      <rPr>
        <sz val="11"/>
        <color theme="1"/>
        <rFont val="ＭＳ Ｐゴシック"/>
        <family val="3"/>
        <charset val="134"/>
        <scheme val="minor"/>
      </rPr>
      <t>尔</t>
    </r>
  </si>
  <si>
    <r>
      <t xml:space="preserve">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餐后酒（利口酒和烈酒）; 开胃酒; 梨酒; 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</t>
    </r>
  </si>
  <si>
    <t>丰留年</t>
  </si>
  <si>
    <t>台州市丰留年文化有限公司</t>
  </si>
  <si>
    <r>
      <t>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白酒; 黄酒; 含酒精的气泡水;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</si>
  <si>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洞巢</t>
  </si>
  <si>
    <r>
      <t>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含酒精的水果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露酒;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苦艾酒; 高粱酒; 甜酒; 以蒸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主的开胃酒; 开胃酒;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米酒（泡盛酒）; 蜂蜜酒;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青稞酒; 苦味酒; 白酒; 黄酒; 果酒（...</t>
    </r>
  </si>
  <si>
    <t>客元堂</t>
  </si>
  <si>
    <r>
      <t>江西鼎源园林建</t>
    </r>
    <r>
      <rPr>
        <sz val="11"/>
        <color theme="1"/>
        <rFont val="ＭＳ Ｐゴシック"/>
        <family val="3"/>
        <charset val="134"/>
        <scheme val="minor"/>
      </rPr>
      <t>设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</si>
  <si>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黄酒; 葡萄酒; 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清酒（日本米酒）; 果酒（含酒精）</t>
    </r>
  </si>
  <si>
    <t>心途径</t>
  </si>
  <si>
    <t>北京新途径教育科技有限公司</t>
  </si>
  <si>
    <r>
      <t xml:space="preserve">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葡萄酒; 果酒（含酒精）; 苹果酒; 威士忌</t>
    </r>
  </si>
  <si>
    <t>芸菓芸蔬</t>
  </si>
  <si>
    <r>
      <t>昆明滇黎</t>
    </r>
    <r>
      <rPr>
        <sz val="11"/>
        <color theme="1"/>
        <rFont val="ＭＳ Ｐゴシック"/>
        <family val="3"/>
        <charset val="134"/>
        <scheme val="minor"/>
      </rPr>
      <t>农业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</si>
  <si>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果酒（含酒精）; 黄酒;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白干酒（中国白酒）</t>
    </r>
  </si>
  <si>
    <t>倪楠笙</t>
  </si>
  <si>
    <r>
      <t>倪</t>
    </r>
    <r>
      <rPr>
        <sz val="11"/>
        <color theme="1"/>
        <rFont val="ＭＳ Ｐゴシック"/>
        <family val="3"/>
        <charset val="134"/>
        <scheme val="minor"/>
      </rPr>
      <t>伟伟</t>
    </r>
  </si>
  <si>
    <r>
      <t>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含酒精的充气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白酒; 含酒精的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尾酒混合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品; 果酒（含酒精）;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食用酒精;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</si>
  <si>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倪北冕</t>
  </si>
  <si>
    <r>
      <t>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含酒精的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尾酒混合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品; 食用酒精;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含酒精的充气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</si>
  <si>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美香情</t>
  </si>
  <si>
    <r>
      <t>桐</t>
    </r>
    <r>
      <rPr>
        <sz val="11"/>
        <color theme="1"/>
        <rFont val="ＭＳ Ｐゴシック"/>
        <family val="3"/>
        <charset val="134"/>
        <scheme val="minor"/>
      </rPr>
      <t>乡</t>
    </r>
    <r>
      <rPr>
        <sz val="11"/>
        <color theme="1"/>
        <rFont val="ＭＳ Ｐゴシック"/>
        <family val="3"/>
        <charset val="128"/>
        <scheme val="minor"/>
      </rPr>
      <t>得隆餐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</si>
  <si>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威士忌; 米酒;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开胃酒; 柑香酒;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</t>
    </r>
  </si>
  <si>
    <t>唯益金球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</si>
  <si>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州德盛恒嘉商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</si>
  <si>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烈酒;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威士忌; 甜酒; 白酒; 米酒; 高粱酒; 黄酒;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</t>
    </r>
  </si>
  <si>
    <r>
      <t>弘拉</t>
    </r>
    <r>
      <rPr>
        <sz val="11"/>
        <color theme="1"/>
        <rFont val="ＭＳ Ｐゴシック"/>
        <family val="3"/>
        <charset val="134"/>
        <scheme val="minor"/>
      </rPr>
      <t>图</t>
    </r>
  </si>
  <si>
    <r>
      <t>福建</t>
    </r>
    <r>
      <rPr>
        <sz val="11"/>
        <color theme="1"/>
        <rFont val="ＭＳ Ｐゴシック"/>
        <family val="3"/>
        <charset val="134"/>
        <scheme val="minor"/>
      </rPr>
      <t>闽</t>
    </r>
    <r>
      <rPr>
        <sz val="11"/>
        <color theme="1"/>
        <rFont val="ＭＳ Ｐゴシック"/>
        <family val="3"/>
        <charset val="128"/>
        <scheme val="minor"/>
      </rPr>
      <t>宥瑄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</si>
  <si>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伏特加酒; 葡萄酒; 果酒;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米酒; 威士忌;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</si>
  <si>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隐</t>
    </r>
    <r>
      <rPr>
        <sz val="11"/>
        <color theme="1"/>
        <rFont val="ＭＳ Ｐゴシック"/>
        <family val="3"/>
        <charset val="128"/>
        <scheme val="minor"/>
      </rPr>
      <t>璜</t>
    </r>
  </si>
  <si>
    <r>
      <t>广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粤</t>
    </r>
    <r>
      <rPr>
        <sz val="11"/>
        <color theme="1"/>
        <rFont val="ＭＳ Ｐゴシック"/>
        <family val="3"/>
        <charset val="134"/>
        <scheme val="minor"/>
      </rPr>
      <t>颖农业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</si>
  <si>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葡萄酒; 伏特加酒; 含酒精的气泡水; 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果酒; 米酒; 白酒</t>
    </r>
  </si>
  <si>
    <r>
      <t>房州</t>
    </r>
    <r>
      <rPr>
        <sz val="11"/>
        <color theme="1"/>
        <rFont val="ＭＳ Ｐゴシック"/>
        <family val="3"/>
        <charset val="134"/>
        <scheme val="minor"/>
      </rPr>
      <t>玺</t>
    </r>
    <r>
      <rPr>
        <sz val="11"/>
        <color theme="1"/>
        <rFont val="ＭＳ Ｐゴシック"/>
        <family val="3"/>
        <charset val="128"/>
        <scheme val="minor"/>
      </rPr>
      <t>淳</t>
    </r>
  </si>
  <si>
    <r>
      <t>陈</t>
    </r>
    <r>
      <rPr>
        <sz val="11"/>
        <color theme="1"/>
        <rFont val="ＭＳ Ｐゴシック"/>
        <family val="3"/>
        <charset val="128"/>
        <scheme val="minor"/>
      </rPr>
      <t>溪</t>
    </r>
  </si>
  <si>
    <r>
      <t>青稞酒; 黄酒; 白酒; 果酒（含酒精）; 米酒; 利口酒;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开胃酒</t>
    </r>
  </si>
  <si>
    <r>
      <t>东</t>
    </r>
    <r>
      <rPr>
        <sz val="11"/>
        <color theme="1"/>
        <rFont val="ＭＳ Ｐゴシック"/>
        <family val="3"/>
        <charset val="128"/>
        <scheme val="minor"/>
      </rPr>
      <t>方</t>
    </r>
    <r>
      <rPr>
        <sz val="11"/>
        <color theme="1"/>
        <rFont val="ＭＳ Ｐゴシック"/>
        <family val="3"/>
        <charset val="134"/>
        <scheme val="minor"/>
      </rPr>
      <t>缘</t>
    </r>
    <r>
      <rPr>
        <sz val="11"/>
        <color theme="1"/>
        <rFont val="ＭＳ Ｐゴシック"/>
        <family val="3"/>
        <charset val="128"/>
        <scheme val="minor"/>
      </rPr>
      <t>·淮宝坊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</si>
  <si>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清酒（日本米酒）; 米酒; 白酒;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开胃酒; 黄酒; 葡萄酒</t>
    </r>
  </si>
  <si>
    <t>UNIROC</t>
  </si>
  <si>
    <r>
      <t>湖南五新隧道智能装</t>
    </r>
    <r>
      <rPr>
        <sz val="11"/>
        <color theme="1"/>
        <rFont val="ＭＳ Ｐゴシック"/>
        <family val="3"/>
        <charset val="134"/>
        <scheme val="minor"/>
      </rPr>
      <t>备</t>
    </r>
    <r>
      <rPr>
        <sz val="11"/>
        <color theme="1"/>
        <rFont val="ＭＳ Ｐゴシック"/>
        <family val="3"/>
        <charset val="128"/>
        <scheme val="minor"/>
      </rPr>
      <t>股份有限公司</t>
    </r>
  </si>
  <si>
    <r>
      <t xml:space="preserve">薄荷酒; 朗姆酒; 伏特加酒; 开胃酒; 果酒（含酒精）; 白酒;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黄酒</t>
    </r>
  </si>
  <si>
    <r>
      <t>笔中有</t>
    </r>
    <r>
      <rPr>
        <sz val="11"/>
        <color theme="1"/>
        <rFont val="ＭＳ Ｐゴシック"/>
        <family val="3"/>
        <charset val="134"/>
        <scheme val="minor"/>
      </rPr>
      <t>鹤</t>
    </r>
  </si>
  <si>
    <r>
      <t>浙江福</t>
    </r>
    <r>
      <rPr>
        <sz val="11"/>
        <color theme="1"/>
        <rFont val="ＭＳ Ｐゴシック"/>
        <family val="3"/>
        <charset val="134"/>
        <scheme val="minor"/>
      </rPr>
      <t>屿</t>
    </r>
    <r>
      <rPr>
        <sz val="11"/>
        <color theme="1"/>
        <rFont val="ＭＳ Ｐゴシック"/>
        <family val="3"/>
        <charset val="128"/>
        <scheme val="minor"/>
      </rPr>
      <t>酒店管理有限公司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</si>
  <si>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葡萄酒; 威士忌; 汽酒;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</si>
  <si>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市宇河酒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</si>
  <si>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梅酒; 高粱酒;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 xml:space="preserve">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</si>
  <si>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r>
      <t>焱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吟</t>
    </r>
  </si>
  <si>
    <r>
      <t>食用酒精; 汽酒; 清酒（日本米酒）; 葡萄酒;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</t>
    </r>
  </si>
  <si>
    <r>
      <t>悦本</t>
    </r>
    <r>
      <rPr>
        <sz val="11"/>
        <color theme="1"/>
        <rFont val="ＭＳ Ｐゴシック"/>
        <family val="3"/>
        <charset val="134"/>
        <scheme val="minor"/>
      </rPr>
      <t>颜</t>
    </r>
  </si>
  <si>
    <t>杭州御善德健康科技有限公司</t>
  </si>
  <si>
    <r>
      <t>黄酒; 白酒; 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蜂蜜酒; 果酒（含酒精）;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</si>
  <si>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鑫孔雀</t>
  </si>
  <si>
    <r>
      <t xml:space="preserve">果酒（含酒精）; 威士忌; 米酒; 白酒;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汽酒; 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</si>
  <si>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广西</t>
    </r>
    <r>
      <rPr>
        <sz val="11"/>
        <color theme="1"/>
        <rFont val="ＭＳ Ｐゴシック"/>
        <family val="3"/>
        <charset val="134"/>
        <scheme val="minor"/>
      </rPr>
      <t>亿</t>
    </r>
    <r>
      <rPr>
        <sz val="11"/>
        <color theme="1"/>
        <rFont val="ＭＳ Ｐゴシック"/>
        <family val="3"/>
        <charset val="128"/>
        <scheme val="minor"/>
      </rPr>
      <t>嘉</t>
    </r>
    <r>
      <rPr>
        <sz val="11"/>
        <color theme="1"/>
        <rFont val="ＭＳ Ｐゴシック"/>
        <family val="3"/>
        <charset val="134"/>
        <scheme val="minor"/>
      </rPr>
      <t>农润</t>
    </r>
    <r>
      <rPr>
        <sz val="11"/>
        <color theme="1"/>
        <rFont val="ＭＳ Ｐゴシック"/>
        <family val="3"/>
        <charset val="128"/>
        <scheme val="minor"/>
      </rPr>
      <t>生物科技有限公司</t>
    </r>
  </si>
  <si>
    <r>
      <t>黄酒; 蜂蜜酒;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清酒（日本米酒）; 葡萄酒; 果酒（含酒精）;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</si>
  <si>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味不</t>
    </r>
    <r>
      <rPr>
        <sz val="11"/>
        <color theme="1"/>
        <rFont val="ＭＳ Ｐゴシック"/>
        <family val="3"/>
        <charset val="134"/>
        <scheme val="minor"/>
      </rPr>
      <t>让</t>
    </r>
  </si>
  <si>
    <r>
      <t>王正</t>
    </r>
    <r>
      <rPr>
        <sz val="11"/>
        <color theme="1"/>
        <rFont val="ＭＳ Ｐゴシック"/>
        <family val="3"/>
        <charset val="134"/>
        <scheme val="minor"/>
      </rPr>
      <t>辉</t>
    </r>
  </si>
  <si>
    <r>
      <t xml:space="preserve">果酒; 白干酒（中国白酒）;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米酒; 水果汽酒; 白葡萄酒;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白酒</t>
    </r>
  </si>
  <si>
    <t>小熹逗</t>
  </si>
  <si>
    <r>
      <t>马东</t>
    </r>
    <r>
      <rPr>
        <sz val="11"/>
        <color theme="1"/>
        <rFont val="ＭＳ Ｐゴシック"/>
        <family val="3"/>
        <charset val="128"/>
        <scheme val="minor"/>
      </rPr>
      <t>鑫</t>
    </r>
  </si>
  <si>
    <r>
      <t xml:space="preserve">果酒（含酒精）; 食用酒精;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蜂蜜酒; 葡萄酒</t>
    </r>
  </si>
  <si>
    <r>
      <t>吴</t>
    </r>
    <r>
      <rPr>
        <sz val="11"/>
        <color theme="1"/>
        <rFont val="ＭＳ Ｐゴシック"/>
        <family val="3"/>
        <charset val="134"/>
        <scheme val="minor"/>
      </rPr>
      <t>辉</t>
    </r>
    <r>
      <rPr>
        <sz val="11"/>
        <color theme="1"/>
        <rFont val="ＭＳ Ｐゴシック"/>
        <family val="3"/>
        <charset val="128"/>
        <scheme val="minor"/>
      </rPr>
      <t>荣</t>
    </r>
  </si>
  <si>
    <r>
      <t>利口酒; 蒸煮提取物（利口酒和烈酒）;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清酒（日本米酒）; 白酒; 黄酒</t>
    </r>
  </si>
  <si>
    <r>
      <t>钱</t>
    </r>
    <r>
      <rPr>
        <sz val="11"/>
        <color theme="1"/>
        <rFont val="ＭＳ Ｐゴシック"/>
        <family val="3"/>
        <charset val="128"/>
        <scheme val="minor"/>
      </rPr>
      <t>王潮</t>
    </r>
    <r>
      <rPr>
        <sz val="11"/>
        <color theme="1"/>
        <rFont val="ＭＳ Ｐゴシック"/>
        <family val="3"/>
        <charset val="134"/>
        <scheme val="minor"/>
      </rPr>
      <t>头</t>
    </r>
  </si>
  <si>
    <r>
      <t>杭州</t>
    </r>
    <r>
      <rPr>
        <sz val="11"/>
        <color theme="1"/>
        <rFont val="ＭＳ Ｐゴシック"/>
        <family val="3"/>
        <charset val="134"/>
        <scheme val="minor"/>
      </rPr>
      <t>钱</t>
    </r>
    <r>
      <rPr>
        <sz val="11"/>
        <color theme="1"/>
        <rFont val="ＭＳ Ｐゴシック"/>
        <family val="3"/>
        <charset val="128"/>
        <scheme val="minor"/>
      </rPr>
      <t>王酒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</si>
  <si>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果酒（含酒精）; 食用酒精</t>
    </r>
  </si>
  <si>
    <t>NUVOLOSA</t>
  </si>
  <si>
    <r>
      <t>深圳恒</t>
    </r>
    <r>
      <rPr>
        <sz val="11"/>
        <color theme="1"/>
        <rFont val="ＭＳ Ｐゴシック"/>
        <family val="3"/>
        <charset val="134"/>
        <scheme val="minor"/>
      </rPr>
      <t>义</t>
    </r>
    <r>
      <rPr>
        <sz val="11"/>
        <color theme="1"/>
        <rFont val="ＭＳ Ｐゴシック"/>
        <family val="3"/>
        <charset val="128"/>
        <scheme val="minor"/>
      </rPr>
      <t>信文化有限公司</t>
    </r>
  </si>
  <si>
    <r>
      <t>白酒;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朝</t>
    </r>
    <r>
      <rPr>
        <sz val="11"/>
        <color theme="1"/>
        <rFont val="ＭＳ Ｐゴシック"/>
        <family val="3"/>
        <charset val="134"/>
        <scheme val="minor"/>
      </rPr>
      <t>鲜</t>
    </r>
    <r>
      <rPr>
        <sz val="11"/>
        <color theme="1"/>
        <rFont val="ＭＳ Ｐゴシック"/>
        <family val="3"/>
        <charset val="128"/>
        <scheme val="minor"/>
      </rPr>
      <t>族米酒; 果酒;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青梅酒; 葡萄酒; 黄酒; 米酒</t>
    </r>
  </si>
  <si>
    <t>千初色</t>
  </si>
  <si>
    <t>河南源之尚生物科技有限公司</t>
  </si>
  <si>
    <r>
      <t xml:space="preserve">果酒（含酒精）; 米酒;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开胃酒;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葡萄酒</t>
    </r>
  </si>
  <si>
    <t>晃晃仙</t>
  </si>
  <si>
    <r>
      <t>汽酒; 清酒（日本米酒）;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白酒; 食用酒精;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</si>
  <si>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楠城湘</t>
  </si>
  <si>
    <t>刘岩</t>
  </si>
  <si>
    <r>
      <t>米酒; 开胃酒; 利口酒; 白酒;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食用酒精;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威士忌; 果酒</t>
    </r>
  </si>
  <si>
    <r>
      <t>唐</t>
    </r>
    <r>
      <rPr>
        <sz val="11"/>
        <color theme="1"/>
        <rFont val="ＭＳ Ｐゴシック"/>
        <family val="3"/>
        <charset val="134"/>
        <scheme val="minor"/>
      </rPr>
      <t>汉风</t>
    </r>
    <r>
      <rPr>
        <sz val="11"/>
        <color theme="1"/>
        <rFont val="ＭＳ Ｐゴシック"/>
        <family val="3"/>
        <charset val="128"/>
        <scheme val="minor"/>
      </rPr>
      <t>韵</t>
    </r>
  </si>
  <si>
    <r>
      <t>桐</t>
    </r>
    <r>
      <rPr>
        <sz val="11"/>
        <color theme="1"/>
        <rFont val="ＭＳ Ｐゴシック"/>
        <family val="3"/>
        <charset val="134"/>
        <scheme val="minor"/>
      </rPr>
      <t>乡</t>
    </r>
    <r>
      <rPr>
        <sz val="11"/>
        <color theme="1"/>
        <rFont val="ＭＳ Ｐゴシック"/>
        <family val="3"/>
        <charset val="128"/>
        <scheme val="minor"/>
      </rPr>
      <t>市吉</t>
    </r>
    <r>
      <rPr>
        <sz val="11"/>
        <color theme="1"/>
        <rFont val="ＭＳ Ｐゴシック"/>
        <family val="3"/>
        <charset val="134"/>
        <scheme val="minor"/>
      </rPr>
      <t>满</t>
    </r>
    <r>
      <rPr>
        <sz val="11"/>
        <color theme="1"/>
        <rFont val="ＭＳ Ｐゴシック"/>
        <family val="3"/>
        <charset val="128"/>
        <scheme val="minor"/>
      </rPr>
      <t>祥餐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</si>
  <si>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开胃酒;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米酒; 柑香酒</t>
    </r>
  </si>
  <si>
    <t>丰粒羽酒</t>
  </si>
  <si>
    <r>
      <t>青稞酒; 开胃酒; 蜂蜜酒;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伏特加酒; 果酒（含酒精）; 葡萄酒; 白酒</t>
    </r>
  </si>
  <si>
    <t>北面虎</t>
  </si>
  <si>
    <r>
      <t>食用酒精; 伏特加酒; 果酒（含酒精）; 威士忌; 葡萄酒; 白酒;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</si>
  <si>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兰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34"/>
        <scheme val="minor"/>
      </rPr>
      <t>蓝</t>
    </r>
    <r>
      <rPr>
        <sz val="11"/>
        <color theme="1"/>
        <rFont val="ＭＳ Ｐゴシック"/>
        <family val="3"/>
        <charset val="128"/>
        <scheme val="minor"/>
      </rPr>
      <t>大健康管理有限公司</t>
    </r>
  </si>
  <si>
    <r>
      <t xml:space="preserve">果酒（含酒精）; 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</si>
  <si>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鹏</t>
    </r>
    <r>
      <rPr>
        <sz val="11"/>
        <color theme="1"/>
        <rFont val="ＭＳ Ｐゴシック"/>
        <family val="3"/>
        <charset val="128"/>
        <scheme val="minor"/>
      </rPr>
      <t>程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方</t>
    </r>
  </si>
  <si>
    <r>
      <t>葡萄酒; 清酒（日本米酒）; 米酒; 白酒; 烈酒; 白干酒（中国白酒）;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高粱酒;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</si>
  <si>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杰卡特</t>
  </si>
  <si>
    <r>
      <t>许</t>
    </r>
    <r>
      <rPr>
        <sz val="11"/>
        <color theme="1"/>
        <rFont val="ＭＳ Ｐゴシック"/>
        <family val="3"/>
        <charset val="128"/>
        <scheme val="minor"/>
      </rPr>
      <t>茂州</t>
    </r>
  </si>
  <si>
    <r>
      <t>黄酒; 高粱酒;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伏特加酒;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</t>
    </r>
  </si>
  <si>
    <r>
      <t>天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谷</t>
    </r>
  </si>
  <si>
    <t>郭外香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</si>
  <si>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威士忌;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果酒（含酒精）</t>
    </r>
  </si>
  <si>
    <r>
      <t>尚厦</t>
    </r>
    <r>
      <rPr>
        <sz val="11"/>
        <color theme="1"/>
        <rFont val="ＭＳ Ｐゴシック"/>
        <family val="3"/>
        <charset val="134"/>
        <scheme val="minor"/>
      </rPr>
      <t>阁</t>
    </r>
  </si>
  <si>
    <r>
      <t>厦</t>
    </r>
    <r>
      <rPr>
        <sz val="11"/>
        <color theme="1"/>
        <rFont val="ＭＳ Ｐゴシック"/>
        <family val="3"/>
        <charset val="134"/>
        <scheme val="minor"/>
      </rPr>
      <t>门</t>
    </r>
    <r>
      <rPr>
        <sz val="11"/>
        <color theme="1"/>
        <rFont val="ＭＳ Ｐゴシック"/>
        <family val="3"/>
        <charset val="128"/>
        <scheme val="minor"/>
      </rPr>
      <t>七尚酒店管理集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</si>
  <si>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黄酒; 白酒;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葡萄酒</t>
    </r>
  </si>
  <si>
    <r>
      <t>馋</t>
    </r>
    <r>
      <rPr>
        <sz val="11"/>
        <color theme="1"/>
        <rFont val="ＭＳ Ｐゴシック"/>
        <family val="3"/>
        <charset val="128"/>
        <scheme val="minor"/>
      </rPr>
      <t>品一号</t>
    </r>
  </si>
  <si>
    <t>康淑霞</t>
  </si>
  <si>
    <t>米酒; 食用酒精; 开胃酒; 果酒; 黄酒; 汽酒; 清酒; 甜酒; 白酒; 葡萄酒</t>
  </si>
  <si>
    <r>
      <t>连</t>
    </r>
    <r>
      <rPr>
        <sz val="11"/>
        <color theme="1"/>
        <rFont val="ＭＳ Ｐゴシック"/>
        <family val="3"/>
        <charset val="128"/>
        <scheme val="minor"/>
      </rPr>
      <t>襟</t>
    </r>
  </si>
  <si>
    <r>
      <t>天台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鞠躬日用品有限公司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</si>
  <si>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葡萄酒; 利口酒; 清酒（日本米酒）;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开胃酒; 黄酒; 米酒</t>
    </r>
  </si>
  <si>
    <t>加恩宝</t>
  </si>
  <si>
    <t>李舒婷</t>
  </si>
  <si>
    <r>
      <t>白酒; 米酒; 蜂蜜酒;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果酒（含酒精）; 伏特加酒;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</si>
  <si>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t>松程液</t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</si>
  <si>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甜酒; 白酒; 高粱酒;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清酒（日本米酒）; 米酒;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的白酒;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</t>
    </r>
  </si>
  <si>
    <t>快荣</t>
  </si>
  <si>
    <r>
      <t>陈</t>
    </r>
    <r>
      <rPr>
        <sz val="11"/>
        <color theme="1"/>
        <rFont val="ＭＳ Ｐゴシック"/>
        <family val="3"/>
        <charset val="128"/>
        <scheme val="minor"/>
      </rPr>
      <t>国</t>
    </r>
    <r>
      <rPr>
        <sz val="11"/>
        <color theme="1"/>
        <rFont val="ＭＳ Ｐゴシック"/>
        <family val="3"/>
        <charset val="134"/>
        <scheme val="minor"/>
      </rPr>
      <t>卫</t>
    </r>
    <r>
      <rPr>
        <sz val="11"/>
        <color theme="1"/>
        <rFont val="ＭＳ Ｐゴシック"/>
        <family val="3"/>
        <charset val="128"/>
        <scheme val="minor"/>
      </rPr>
      <t>******************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</si>
  <si>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利口酒; 清酒（日本米酒）; 米酒; 白酒; 黄酒; 果酒（含酒精）;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</si>
  <si>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撬撬</t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</si>
  <si>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利口酒; 清酒（日本米酒）; 开胃酒; 黄酒;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</t>
    </r>
  </si>
  <si>
    <r>
      <t>凯</t>
    </r>
    <r>
      <rPr>
        <sz val="11"/>
        <color theme="1"/>
        <rFont val="ＭＳ Ｐゴシック"/>
        <family val="3"/>
        <charset val="128"/>
        <scheme val="minor"/>
      </rPr>
      <t>无二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</si>
  <si>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食用酒精; 白干酒（中国白酒）; 葡萄酒;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高粱酒;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米酒; 白酒</t>
    </r>
  </si>
  <si>
    <t>牌礼憘 牌礼憙 牌礼囍 牌礼喜</t>
  </si>
  <si>
    <t>中国双喜（控股）股份有限公司</t>
  </si>
  <si>
    <r>
      <t xml:space="preserve">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白酒; 清酒; 烈酒; 葡萄酒; 米酒;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</si>
  <si>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御画文旅</t>
  </si>
  <si>
    <r>
      <t>宁波御画文旅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</si>
  <si>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白干酒（中国白酒）; 白酒; 汽酒; 高粱酒; 果酒; 黄酒; 米酒; 葡萄酒; 清酒</t>
    </r>
  </si>
  <si>
    <r>
      <t>心</t>
    </r>
    <r>
      <rPr>
        <sz val="11"/>
        <color theme="1"/>
        <rFont val="ＭＳ Ｐゴシック"/>
        <family val="3"/>
        <charset val="134"/>
        <scheme val="minor"/>
      </rPr>
      <t>视</t>
    </r>
    <r>
      <rPr>
        <sz val="11"/>
        <color theme="1"/>
        <rFont val="ＭＳ Ｐゴシック"/>
        <family val="3"/>
        <charset val="128"/>
        <scheme val="minor"/>
      </rPr>
      <t>（北京）影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媒有限公司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</si>
  <si>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黄酒; 威士忌; 食用酒精; 朗姆酒; 伏特加酒; 葡萄酒;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</si>
  <si>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斐柯蜜</t>
  </si>
  <si>
    <t>梁永富</t>
  </si>
  <si>
    <r>
      <t xml:space="preserve">白酒;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清酒;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威士忌;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</si>
  <si>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桐</t>
    </r>
    <r>
      <rPr>
        <sz val="11"/>
        <color theme="1"/>
        <rFont val="ＭＳ Ｐゴシック"/>
        <family val="3"/>
        <charset val="134"/>
        <scheme val="minor"/>
      </rPr>
      <t>庐</t>
    </r>
    <r>
      <rPr>
        <sz val="11"/>
        <color theme="1"/>
        <rFont val="ＭＳ Ｐゴシック"/>
        <family val="3"/>
        <charset val="128"/>
        <scheme val="minor"/>
      </rPr>
      <t>盛林苗木</t>
    </r>
    <r>
      <rPr>
        <sz val="11"/>
        <color theme="1"/>
        <rFont val="ＭＳ Ｐゴシック"/>
        <family val="3"/>
        <charset val="134"/>
        <scheme val="minor"/>
      </rPr>
      <t>专业</t>
    </r>
    <r>
      <rPr>
        <sz val="11"/>
        <color theme="1"/>
        <rFont val="ＭＳ Ｐゴシック"/>
        <family val="3"/>
        <charset val="128"/>
        <scheme val="minor"/>
      </rPr>
      <t>合作社</t>
    </r>
  </si>
  <si>
    <r>
      <t xml:space="preserve">米酒;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 xml:space="preserve">桃酒; 白酒;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 xml:space="preserve">梅酒; 青梅酒; 梨酒; 葡萄酒;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高粱酒</t>
    </r>
  </si>
  <si>
    <t>坤技</t>
  </si>
  <si>
    <r>
      <t>食用酒精; 黄酒;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威士忌;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</si>
  <si>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凭海</t>
    </r>
    <r>
      <rPr>
        <sz val="11"/>
        <color theme="1"/>
        <rFont val="ＭＳ Ｐゴシック"/>
        <family val="3"/>
        <charset val="134"/>
        <scheme val="minor"/>
      </rPr>
      <t>阔</t>
    </r>
  </si>
  <si>
    <t>北京三两酒有限公司</t>
  </si>
  <si>
    <r>
      <t>米酒; 烈酒;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露酒; 白干酒（中国白酒）;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</si>
  <si>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r>
      <t>奇治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坊</t>
    </r>
  </si>
  <si>
    <r>
      <t>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青稞酒;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葡萄酒; 米酒</t>
    </r>
  </si>
  <si>
    <r>
      <t>久</t>
    </r>
    <r>
      <rPr>
        <sz val="11"/>
        <color theme="1"/>
        <rFont val="ＭＳ Ｐゴシック"/>
        <family val="3"/>
        <charset val="134"/>
        <scheme val="minor"/>
      </rPr>
      <t>绿</t>
    </r>
    <r>
      <rPr>
        <sz val="11"/>
        <color theme="1"/>
        <rFont val="ＭＳ Ｐゴシック"/>
        <family val="3"/>
        <charset val="128"/>
        <scheme val="minor"/>
      </rPr>
      <t>康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</si>
  <si>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葡萄酒</t>
    </r>
  </si>
  <si>
    <t>益木堂十一丈</t>
  </si>
  <si>
    <r>
      <t>西双版</t>
    </r>
    <r>
      <rPr>
        <sz val="11"/>
        <color theme="1"/>
        <rFont val="ＭＳ Ｐゴシック"/>
        <family val="3"/>
        <charset val="134"/>
        <scheme val="minor"/>
      </rPr>
      <t>纳</t>
    </r>
    <r>
      <rPr>
        <sz val="11"/>
        <color theme="1"/>
        <rFont val="ＭＳ Ｐゴシック"/>
        <family val="3"/>
        <charset val="128"/>
        <scheme val="minor"/>
      </rPr>
      <t>益木堂茶</t>
    </r>
    <r>
      <rPr>
        <sz val="11"/>
        <color theme="1"/>
        <rFont val="ＭＳ Ｐゴシック"/>
        <family val="3"/>
        <charset val="134"/>
        <scheme val="minor"/>
      </rPr>
      <t>仓</t>
    </r>
    <r>
      <rPr>
        <sz val="11"/>
        <color theme="1"/>
        <rFont val="ＭＳ Ｐゴシック"/>
        <family val="3"/>
        <charset val="128"/>
        <scheme val="minor"/>
      </rPr>
      <t>茶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</si>
  <si>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t>苹果酒; 葡萄酒; 果酒; 白酒; 开胃酒; 薄荷酒; 黄酒; 食用酒精; 蜂蜜酒; 青稞酒</t>
  </si>
  <si>
    <t>玉福佬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</si>
  <si>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烈酒; 白酒; 米酒; 果酒;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葡萄酒; 甜酒; 高粱酒</t>
    </r>
  </si>
  <si>
    <t>YING REN TANG</t>
  </si>
  <si>
    <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果酒（含酒精）; 利口酒; 甜酒; 餐后酒（利口酒和烈酒）;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</si>
  <si>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名城吉</t>
    </r>
    <r>
      <rPr>
        <sz val="11"/>
        <color theme="1"/>
        <rFont val="ＭＳ Ｐゴシック"/>
        <family val="3"/>
        <charset val="134"/>
        <scheme val="minor"/>
      </rPr>
      <t>缘</t>
    </r>
  </si>
  <si>
    <r>
      <t>上海金樽吟酒</t>
    </r>
    <r>
      <rPr>
        <sz val="11"/>
        <color theme="1"/>
        <rFont val="ＭＳ Ｐゴシック"/>
        <family val="3"/>
        <charset val="134"/>
        <scheme val="minor"/>
      </rPr>
      <t>业销</t>
    </r>
    <r>
      <rPr>
        <sz val="11"/>
        <color theme="1"/>
        <rFont val="ＭＳ Ｐゴシック"/>
        <family val="3"/>
        <charset val="128"/>
        <scheme val="minor"/>
      </rPr>
      <t>售有限公司</t>
    </r>
  </si>
  <si>
    <r>
      <t xml:space="preserve">米酒; 白酒; 葡萄酒;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薄荷酒;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开胃酒</t>
    </r>
  </si>
  <si>
    <t>BITFOREST</t>
  </si>
  <si>
    <r>
      <t>上海星</t>
    </r>
    <r>
      <rPr>
        <sz val="11"/>
        <color theme="1"/>
        <rFont val="ＭＳ Ｐゴシック"/>
        <family val="3"/>
        <charset val="134"/>
        <scheme val="minor"/>
      </rPr>
      <t>环</t>
    </r>
    <r>
      <rPr>
        <sz val="11"/>
        <color theme="1"/>
        <rFont val="ＭＳ Ｐゴシック"/>
        <family val="3"/>
        <charset val="128"/>
        <scheme val="minor"/>
      </rPr>
      <t>商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服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</si>
  <si>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青稞酒; 白酒;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苹果酒;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</si>
  <si>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菜</t>
    </r>
    <r>
      <rPr>
        <sz val="11"/>
        <color theme="1"/>
        <rFont val="ＭＳ Ｐゴシック"/>
        <family val="3"/>
        <charset val="134"/>
        <scheme val="minor"/>
      </rPr>
      <t>诚</t>
    </r>
    <r>
      <rPr>
        <sz val="11"/>
        <color theme="1"/>
        <rFont val="ＭＳ Ｐゴシック"/>
        <family val="3"/>
        <charset val="128"/>
        <scheme val="minor"/>
      </rPr>
      <t>相</t>
    </r>
  </si>
  <si>
    <r>
      <t>漯河德裕隆</t>
    </r>
    <r>
      <rPr>
        <sz val="11"/>
        <color theme="1"/>
        <rFont val="ＭＳ Ｐゴシック"/>
        <family val="3"/>
        <charset val="134"/>
        <scheme val="minor"/>
      </rPr>
      <t>仓储</t>
    </r>
    <r>
      <rPr>
        <sz val="11"/>
        <color theme="1"/>
        <rFont val="ＭＳ Ｐゴシック"/>
        <family val="3"/>
        <charset val="128"/>
        <scheme val="minor"/>
      </rPr>
      <t>服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</si>
  <si>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高粱酒;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白酒; 果酒; 清酒;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黄酒</t>
    </r>
  </si>
  <si>
    <r>
      <t>翱</t>
    </r>
    <r>
      <rPr>
        <sz val="11"/>
        <color theme="1"/>
        <rFont val="ＭＳ Ｐゴシック"/>
        <family val="3"/>
        <charset val="128"/>
        <scheme val="minor"/>
      </rPr>
      <t>翔</t>
    </r>
    <r>
      <rPr>
        <sz val="11"/>
        <color theme="1"/>
        <rFont val="ＭＳ Ｐゴシック"/>
        <family val="3"/>
        <charset val="134"/>
        <scheme val="minor"/>
      </rPr>
      <t>飞</t>
    </r>
    <r>
      <rPr>
        <sz val="11"/>
        <color theme="1"/>
        <rFont val="ＭＳ Ｐゴシック"/>
        <family val="3"/>
        <charset val="128"/>
        <scheme val="minor"/>
      </rPr>
      <t>悦</t>
    </r>
  </si>
  <si>
    <r>
      <t>张</t>
    </r>
    <r>
      <rPr>
        <sz val="11"/>
        <color theme="1"/>
        <rFont val="ＭＳ Ｐゴシック"/>
        <family val="3"/>
        <charset val="128"/>
        <scheme val="minor"/>
      </rPr>
      <t>荣炬</t>
    </r>
  </si>
  <si>
    <r>
      <t xml:space="preserve">开胃酒;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果酒; 米酒; 蜂蜜酒; 白酒; 葡萄酒;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</si>
  <si>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蒙特嘉</t>
  </si>
  <si>
    <r>
      <t>申俊</t>
    </r>
    <r>
      <rPr>
        <sz val="11"/>
        <color theme="1"/>
        <rFont val="ＭＳ Ｐゴシック"/>
        <family val="3"/>
        <charset val="134"/>
        <scheme val="minor"/>
      </rPr>
      <t>华</t>
    </r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</si>
  <si>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高粱酒;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伏特加酒; 黄酒</t>
    </r>
  </si>
  <si>
    <r>
      <t>北京</t>
    </r>
    <r>
      <rPr>
        <sz val="11"/>
        <color theme="1"/>
        <rFont val="ＭＳ Ｐゴシック"/>
        <family val="3"/>
        <charset val="134"/>
        <scheme val="minor"/>
      </rPr>
      <t>凯</t>
    </r>
    <r>
      <rPr>
        <sz val="11"/>
        <color theme="1"/>
        <rFont val="ＭＳ Ｐゴシック"/>
        <family val="3"/>
        <charset val="128"/>
        <scheme val="minor"/>
      </rPr>
      <t>瑞迪文化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</si>
  <si>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白酒; 清酒;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果酒（含酒精）; 葡萄酒; 高粱酒; 餐后酒（利口酒和烈酒）; 食用酒精;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</si>
  <si>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醉美稷</t>
    </r>
    <r>
      <rPr>
        <sz val="11"/>
        <color theme="1"/>
        <rFont val="ＭＳ Ｐゴシック"/>
        <family val="3"/>
        <charset val="134"/>
        <scheme val="minor"/>
      </rPr>
      <t>泽</t>
    </r>
  </si>
  <si>
    <r>
      <t>云南醉仁大美酒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</si>
  <si>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米酒; 葡萄酒;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高粱酒;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果酒; 黄酒; 烈酒</t>
    </r>
  </si>
  <si>
    <r>
      <t>宏力</t>
    </r>
    <r>
      <rPr>
        <sz val="11"/>
        <color theme="1"/>
        <rFont val="ＭＳ Ｐゴシック"/>
        <family val="3"/>
        <charset val="134"/>
        <scheme val="minor"/>
      </rPr>
      <t>乐</t>
    </r>
    <r>
      <rPr>
        <sz val="11"/>
        <color theme="1"/>
        <rFont val="ＭＳ Ｐゴシック"/>
        <family val="3"/>
        <charset val="128"/>
        <scheme val="minor"/>
      </rPr>
      <t>家</t>
    </r>
  </si>
  <si>
    <r>
      <t>河南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康宏力医</t>
    </r>
    <r>
      <rPr>
        <sz val="11"/>
        <color theme="1"/>
        <rFont val="ＭＳ Ｐゴシック"/>
        <family val="3"/>
        <charset val="134"/>
        <scheme val="minor"/>
      </rPr>
      <t>疗</t>
    </r>
    <r>
      <rPr>
        <sz val="11"/>
        <color theme="1"/>
        <rFont val="ＭＳ Ｐゴシック"/>
        <family val="3"/>
        <charset val="128"/>
        <scheme val="minor"/>
      </rPr>
      <t>器械有限公司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</si>
  <si>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葡萄酒; 伏特加酒; 黄酒;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苹果酒; 朗姆酒</t>
    </r>
  </si>
  <si>
    <t>李明</t>
  </si>
  <si>
    <r>
      <t>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高粱酒; 烈酒; 黄酒; 白酒; 葡萄酒; 食用酒精;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</si>
  <si>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汪常娥</t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</si>
  <si>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米酒（泡盛酒）; 白酒;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汽酒; 清酒; 烈酒</t>
    </r>
  </si>
  <si>
    <t>石街胆</t>
  </si>
  <si>
    <r>
      <t>河源石街胆文化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播有限公司</t>
    </r>
  </si>
  <si>
    <r>
      <t>米酒; 朗姆酒;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杜松子酒;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威士忌;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</si>
  <si>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驰</t>
    </r>
    <r>
      <rPr>
        <sz val="11"/>
        <color theme="1"/>
        <rFont val="ＭＳ Ｐゴシック"/>
        <family val="3"/>
        <charset val="128"/>
        <scheme val="minor"/>
      </rPr>
      <t>霸</t>
    </r>
  </si>
  <si>
    <r>
      <t>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开胃酒; 柑香酒; 葡萄酒; 白酒</t>
    </r>
  </si>
  <si>
    <r>
      <t>梦</t>
    </r>
    <r>
      <rPr>
        <sz val="11"/>
        <color theme="1"/>
        <rFont val="ＭＳ Ｐゴシック"/>
        <family val="3"/>
        <charset val="134"/>
        <scheme val="minor"/>
      </rPr>
      <t>牵</t>
    </r>
    <r>
      <rPr>
        <sz val="11"/>
        <color theme="1"/>
        <rFont val="ＭＳ Ｐゴシック"/>
        <family val="3"/>
        <charset val="128"/>
        <scheme val="minor"/>
      </rPr>
      <t>福</t>
    </r>
  </si>
  <si>
    <r>
      <t>赵</t>
    </r>
    <r>
      <rPr>
        <sz val="11"/>
        <color theme="1"/>
        <rFont val="ＭＳ Ｐゴシック"/>
        <family val="3"/>
        <charset val="128"/>
        <scheme val="minor"/>
      </rPr>
      <t>治成</t>
    </r>
  </si>
  <si>
    <r>
      <t>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高粱酒; 米酒; 果酒（含酒精）; 食用酒精;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</si>
  <si>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双</t>
    </r>
    <r>
      <rPr>
        <sz val="11"/>
        <color theme="1"/>
        <rFont val="ＭＳ Ｐゴシック"/>
        <family val="3"/>
        <charset val="134"/>
        <scheme val="minor"/>
      </rPr>
      <t>龙辉</t>
    </r>
    <r>
      <rPr>
        <sz val="11"/>
        <color theme="1"/>
        <rFont val="ＭＳ Ｐゴシック"/>
        <family val="3"/>
        <charset val="128"/>
        <scheme val="minor"/>
      </rPr>
      <t>煌</t>
    </r>
  </si>
  <si>
    <t>中韵控股（广州）有限公司</t>
  </si>
  <si>
    <r>
      <t xml:space="preserve">米酒;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高粱酒;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果酒（含酒精）; 白酒;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</si>
  <si>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海今元</t>
  </si>
  <si>
    <t>田桂萍</t>
  </si>
  <si>
    <r>
      <t xml:space="preserve">果酒（含酒精）;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清酒;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</si>
  <si>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青上流</t>
  </si>
  <si>
    <r>
      <t>马</t>
    </r>
    <r>
      <rPr>
        <sz val="11"/>
        <color theme="1"/>
        <rFont val="ＭＳ Ｐゴシック"/>
        <family val="3"/>
        <charset val="128"/>
        <scheme val="minor"/>
      </rPr>
      <t>玉磊</t>
    </r>
  </si>
  <si>
    <r>
      <t xml:space="preserve">果酒（含酒精）; 葡萄酒; 威士忌;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黄酒;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</si>
  <si>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东</t>
    </r>
    <r>
      <rPr>
        <sz val="11"/>
        <color theme="1"/>
        <rFont val="ＭＳ Ｐゴシック"/>
        <family val="3"/>
        <charset val="128"/>
        <scheme val="minor"/>
      </rPr>
      <t>北兔</t>
    </r>
  </si>
  <si>
    <r>
      <t>辽</t>
    </r>
    <r>
      <rPr>
        <sz val="11"/>
        <color theme="1"/>
        <rFont val="ＭＳ Ｐゴシック"/>
        <family val="3"/>
        <charset val="128"/>
        <scheme val="minor"/>
      </rPr>
      <t>源市正曦袜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</si>
  <si>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威士忌;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薄荷酒; 果酒（含酒精）; 白酒;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黄酒; 葡萄酒</t>
    </r>
  </si>
  <si>
    <r>
      <t>云</t>
    </r>
    <r>
      <rPr>
        <sz val="11"/>
        <color theme="1"/>
        <rFont val="ＭＳ Ｐゴシック"/>
        <family val="3"/>
        <charset val="134"/>
        <scheme val="minor"/>
      </rPr>
      <t>贵泽</t>
    </r>
    <r>
      <rPr>
        <sz val="11"/>
        <color theme="1"/>
        <rFont val="ＭＳ Ｐゴシック"/>
        <family val="3"/>
        <charset val="128"/>
        <scheme val="minor"/>
      </rPr>
      <t>壹号</t>
    </r>
  </si>
  <si>
    <r>
      <t>云浮市众</t>
    </r>
    <r>
      <rPr>
        <sz val="11"/>
        <color theme="1"/>
        <rFont val="ＭＳ Ｐゴシック"/>
        <family val="3"/>
        <charset val="134"/>
        <scheme val="minor"/>
      </rPr>
      <t>泽</t>
    </r>
    <r>
      <rPr>
        <sz val="11"/>
        <color theme="1"/>
        <rFont val="ＭＳ Ｐゴシック"/>
        <family val="3"/>
        <charset val="128"/>
        <scheme val="minor"/>
      </rPr>
      <t>壹号</t>
    </r>
    <r>
      <rPr>
        <sz val="11"/>
        <color theme="1"/>
        <rFont val="ＭＳ Ｐゴシック"/>
        <family val="3"/>
        <charset val="134"/>
        <scheme val="minor"/>
      </rPr>
      <t>农业发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</si>
  <si>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 xml:space="preserve">果酒; 白酒; 清酒; 黄酒; 米酒; 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蜂蜜酒; 开胃酒</t>
    </r>
  </si>
  <si>
    <t>喜斟台</t>
  </si>
  <si>
    <r>
      <t>徐俊</t>
    </r>
    <r>
      <rPr>
        <sz val="11"/>
        <color theme="1"/>
        <rFont val="ＭＳ Ｐゴシック"/>
        <family val="3"/>
        <charset val="134"/>
        <scheme val="minor"/>
      </rPr>
      <t>标</t>
    </r>
  </si>
  <si>
    <r>
      <t xml:space="preserve">葡萄酒; 米酒; 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高粱酒; 果酒（含酒精）; 白酒;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露酒</t>
    </r>
  </si>
  <si>
    <r>
      <t>一</t>
    </r>
    <r>
      <rPr>
        <sz val="11"/>
        <color theme="1"/>
        <rFont val="ＭＳ Ｐゴシック"/>
        <family val="3"/>
        <charset val="134"/>
        <scheme val="minor"/>
      </rPr>
      <t>壶</t>
    </r>
    <r>
      <rPr>
        <sz val="11"/>
        <color theme="1"/>
        <rFont val="ＭＳ Ｐゴシック"/>
        <family val="3"/>
        <charset val="128"/>
        <scheme val="minor"/>
      </rPr>
      <t>春 酒 YIHUCHUNJIUYE</t>
    </r>
  </si>
  <si>
    <r>
      <t>吕</t>
    </r>
    <r>
      <rPr>
        <sz val="11"/>
        <color theme="1"/>
        <rFont val="ＭＳ Ｐゴシック"/>
        <family val="3"/>
        <charset val="128"/>
        <scheme val="minor"/>
      </rPr>
      <t>明</t>
    </r>
    <r>
      <rPr>
        <sz val="11"/>
        <color theme="1"/>
        <rFont val="ＭＳ Ｐゴシック"/>
        <family val="3"/>
        <charset val="134"/>
        <scheme val="minor"/>
      </rPr>
      <t>军</t>
    </r>
  </si>
  <si>
    <r>
      <t>白酒; 高粱酒; 果酒; 黄酒; 佐餐酒; 甜酒; 蒸煮提取物（利口酒和烈酒）;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</t>
    </r>
  </si>
  <si>
    <t>赤前坤</t>
  </si>
  <si>
    <r>
      <t>北京朝元</t>
    </r>
    <r>
      <rPr>
        <sz val="11"/>
        <color theme="1"/>
        <rFont val="ＭＳ Ｐゴシック"/>
        <family val="3"/>
        <charset val="134"/>
        <scheme val="minor"/>
      </rPr>
      <t>贡</t>
    </r>
    <r>
      <rPr>
        <sz val="11"/>
        <color theme="1"/>
        <rFont val="ＭＳ Ｐゴシック"/>
        <family val="3"/>
        <charset val="128"/>
        <scheme val="minor"/>
      </rPr>
      <t>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</si>
  <si>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白酒;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伏特加酒; 威士忌; 开胃酒</t>
    </r>
  </si>
  <si>
    <t>WORKERMAN</t>
  </si>
  <si>
    <r>
      <t>无</t>
    </r>
    <r>
      <rPr>
        <sz val="11"/>
        <color theme="1"/>
        <rFont val="ＭＳ Ｐゴシック"/>
        <family val="3"/>
        <charset val="134"/>
        <scheme val="minor"/>
      </rPr>
      <t>锡</t>
    </r>
    <r>
      <rPr>
        <sz val="11"/>
        <color theme="1"/>
        <rFont val="ＭＳ Ｐゴシック"/>
        <family val="3"/>
        <charset val="128"/>
        <scheme val="minor"/>
      </rPr>
      <t>市工</t>
    </r>
    <r>
      <rPr>
        <sz val="11"/>
        <color theme="1"/>
        <rFont val="ＭＳ Ｐゴシック"/>
        <family val="3"/>
        <charset val="134"/>
        <scheme val="minor"/>
      </rPr>
      <t>银</t>
    </r>
    <r>
      <rPr>
        <sz val="11"/>
        <color theme="1"/>
        <rFont val="ＭＳ Ｐゴシック"/>
        <family val="3"/>
        <charset val="128"/>
        <scheme val="minor"/>
      </rPr>
      <t>咖餐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</si>
  <si>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米酒; 食用酒精; 蜂蜜酒;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餐后酒（利口酒和烈酒）; 酸酒（低等葡萄酒）;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</si>
  <si>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钧</t>
    </r>
    <r>
      <rPr>
        <sz val="11"/>
        <color theme="1"/>
        <rFont val="ＭＳ Ｐゴシック"/>
        <family val="3"/>
        <charset val="128"/>
        <scheme val="minor"/>
      </rPr>
      <t>成</t>
    </r>
  </si>
  <si>
    <r>
      <t>济</t>
    </r>
    <r>
      <rPr>
        <sz val="11"/>
        <color theme="1"/>
        <rFont val="ＭＳ Ｐゴシック"/>
        <family val="3"/>
        <charset val="128"/>
        <scheme val="minor"/>
      </rPr>
      <t>南市</t>
    </r>
    <r>
      <rPr>
        <sz val="11"/>
        <color theme="1"/>
        <rFont val="ＭＳ Ｐゴシック"/>
        <family val="3"/>
        <charset val="134"/>
        <scheme val="minor"/>
      </rPr>
      <t>钢</t>
    </r>
    <r>
      <rPr>
        <sz val="11"/>
        <color theme="1"/>
        <rFont val="ＭＳ Ｐゴシック"/>
        <family val="3"/>
        <charset val="128"/>
        <scheme val="minor"/>
      </rPr>
      <t>城区</t>
    </r>
    <r>
      <rPr>
        <sz val="11"/>
        <color theme="1"/>
        <rFont val="ＭＳ Ｐゴシック"/>
        <family val="3"/>
        <charset val="134"/>
        <scheme val="minor"/>
      </rPr>
      <t>钧</t>
    </r>
    <r>
      <rPr>
        <sz val="11"/>
        <color theme="1"/>
        <rFont val="ＭＳ Ｐゴシック"/>
        <family val="3"/>
        <charset val="128"/>
        <scheme val="minor"/>
      </rPr>
      <t>成酒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</si>
  <si>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甘蔗制烈酒;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葡萄酒</t>
    </r>
  </si>
  <si>
    <t>三山三巡</t>
  </si>
  <si>
    <r>
      <t>好好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（上海）</t>
    </r>
    <r>
      <rPr>
        <sz val="11"/>
        <color theme="1"/>
        <rFont val="ＭＳ Ｐゴシック"/>
        <family val="3"/>
        <charset val="134"/>
        <scheme val="minor"/>
      </rPr>
      <t>实业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</si>
  <si>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薄荷酒;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餐后酒（利口酒和烈酒）;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利口酒</t>
    </r>
  </si>
  <si>
    <t>岱均</t>
  </si>
  <si>
    <r>
      <t>大</t>
    </r>
    <r>
      <rPr>
        <sz val="11"/>
        <color theme="1"/>
        <rFont val="ＭＳ Ｐゴシック"/>
        <family val="3"/>
        <charset val="134"/>
        <scheme val="minor"/>
      </rPr>
      <t>连</t>
    </r>
    <r>
      <rPr>
        <sz val="11"/>
        <color theme="1"/>
        <rFont val="ＭＳ Ｐゴシック"/>
        <family val="3"/>
        <charset val="128"/>
        <scheme val="minor"/>
      </rPr>
      <t>佳林</t>
    </r>
    <r>
      <rPr>
        <sz val="11"/>
        <color theme="1"/>
        <rFont val="ＭＳ Ｐゴシック"/>
        <family val="3"/>
        <charset val="134"/>
        <scheme val="minor"/>
      </rPr>
      <t>设备</t>
    </r>
    <r>
      <rPr>
        <sz val="11"/>
        <color theme="1"/>
        <rFont val="ＭＳ Ｐゴシック"/>
        <family val="3"/>
        <charset val="128"/>
        <scheme val="minor"/>
      </rPr>
      <t>制造有限公司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</si>
  <si>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黄酒;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</si>
  <si>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茉黔</t>
  </si>
  <si>
    <t>姚孟能</t>
  </si>
  <si>
    <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清酒（日本米酒）; 食用酒精; 果酒（含酒精）; 威士忌;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米酒</t>
    </r>
  </si>
  <si>
    <t>PINXIAOER</t>
  </si>
  <si>
    <t>品小二（吉林省）品牌管理有限公司</t>
  </si>
  <si>
    <r>
      <t xml:space="preserve">食用酒精;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青稞酒;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白酒; 葡萄酒</t>
    </r>
  </si>
  <si>
    <t>MEI TAO WAN</t>
  </si>
  <si>
    <r>
      <t>景德</t>
    </r>
    <r>
      <rPr>
        <sz val="11"/>
        <color theme="1"/>
        <rFont val="ＭＳ Ｐゴシック"/>
        <family val="3"/>
        <charset val="134"/>
        <scheme val="minor"/>
      </rPr>
      <t>镇</t>
    </r>
    <r>
      <rPr>
        <sz val="11"/>
        <color theme="1"/>
        <rFont val="ＭＳ Ｐゴシック"/>
        <family val="3"/>
        <charset val="128"/>
        <scheme val="minor"/>
      </rPr>
      <t>市美德</t>
    </r>
    <r>
      <rPr>
        <sz val="11"/>
        <color theme="1"/>
        <rFont val="ＭＳ Ｐゴシック"/>
        <family val="3"/>
        <charset val="134"/>
        <scheme val="minor"/>
      </rPr>
      <t>卫</t>
    </r>
    <r>
      <rPr>
        <sz val="11"/>
        <color theme="1"/>
        <rFont val="ＭＳ Ｐゴシック"/>
        <family val="3"/>
        <charset val="128"/>
        <scheme val="minor"/>
      </rPr>
      <t>浴有限公司</t>
    </r>
  </si>
  <si>
    <r>
      <t>伏特加酒; 汽酒; 葡萄酒; 威士忌; 烈酒;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朗姆酒;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</si>
  <si>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波特索伊</t>
  </si>
  <si>
    <r>
      <t>班瑞克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酒有限公司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</si>
  <si>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威士忌; 烈酒</t>
    </r>
  </si>
  <si>
    <r>
      <t>杏来运</t>
    </r>
    <r>
      <rPr>
        <sz val="11"/>
        <color theme="1"/>
        <rFont val="ＭＳ Ｐゴシック"/>
        <family val="3"/>
        <charset val="134"/>
        <scheme val="minor"/>
      </rPr>
      <t>转</t>
    </r>
  </si>
  <si>
    <t>褚小明</t>
  </si>
  <si>
    <r>
      <t>果酒（含酒精）; 烈酒; 白干酒（中国白酒）; 白酒; 果酒;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食用酒精;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高粱酒</t>
    </r>
  </si>
  <si>
    <r>
      <t>龙飞</t>
    </r>
    <r>
      <rPr>
        <sz val="11"/>
        <color theme="1"/>
        <rFont val="ＭＳ Ｐゴシック"/>
        <family val="3"/>
        <charset val="128"/>
        <scheme val="minor"/>
      </rPr>
      <t>·宋</t>
    </r>
  </si>
  <si>
    <r>
      <t>汪</t>
    </r>
    <r>
      <rPr>
        <sz val="11"/>
        <color theme="1"/>
        <rFont val="ＭＳ Ｐゴシック"/>
        <family val="3"/>
        <charset val="134"/>
        <scheme val="minor"/>
      </rPr>
      <t>飞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</si>
  <si>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白酒; 食用酒精; 果酒; 蒸煮提取物（利口酒和烈酒）;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 xml:space="preserve">汁;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</si>
  <si>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蜜溶小棠</t>
  </si>
  <si>
    <t>河南第五元素品牌管理有限公司</t>
  </si>
  <si>
    <r>
      <t>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汽酒;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果酒; 露酒; 酸酒（低等葡萄酒）; 蜂蜜酒</t>
    </r>
  </si>
  <si>
    <t>蜜小苒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</si>
  <si>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果酒; 汽酒; 露酒; 蜂蜜酒; 酸酒（低等葡萄酒）;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甜酒</t>
    </r>
  </si>
  <si>
    <t>盛世葡能</t>
  </si>
  <si>
    <t>宁夏葡能酒庄有限公司</t>
  </si>
  <si>
    <r>
      <t xml:space="preserve">果酒; 烈酒;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黄酒; 青稞酒; 葡萄酒;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汽酒; 白葡萄酒</t>
    </r>
  </si>
  <si>
    <t>至尊葡能</t>
  </si>
  <si>
    <r>
      <t xml:space="preserve">果酒; 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黄酒; 葡萄酒; 汽酒; 白酒; 白葡萄酒; 青稞酒</t>
    </r>
  </si>
  <si>
    <t>TAVAL 泰渥</t>
  </si>
  <si>
    <r>
      <t>广州泰渥装</t>
    </r>
    <r>
      <rPr>
        <sz val="11"/>
        <color theme="1"/>
        <rFont val="ＭＳ Ｐゴシック"/>
        <family val="3"/>
        <charset val="134"/>
        <scheme val="minor"/>
      </rPr>
      <t>饰</t>
    </r>
    <r>
      <rPr>
        <sz val="11"/>
        <color theme="1"/>
        <rFont val="ＭＳ Ｐゴシック"/>
        <family val="3"/>
        <charset val="128"/>
        <scheme val="minor"/>
      </rPr>
      <t>材料有限公司</t>
    </r>
  </si>
  <si>
    <r>
      <t>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食用酒精; 果酒;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米酒; 甜酒; 清酒;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</si>
  <si>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t>鹿易卡丹</t>
  </si>
  <si>
    <t>烟台路易卡隆斯酒庄股份有限公司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</si>
  <si>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葡萄酒; 甘蔗制烈酒;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</si>
  <si>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娜帕努依</t>
  </si>
  <si>
    <r>
      <t>广西南宁</t>
    </r>
    <r>
      <rPr>
        <sz val="11"/>
        <color theme="1"/>
        <rFont val="ＭＳ Ｐゴシック"/>
        <family val="3"/>
        <charset val="134"/>
        <scheme val="minor"/>
      </rPr>
      <t>汇发</t>
    </r>
    <r>
      <rPr>
        <sz val="11"/>
        <color theme="1"/>
        <rFont val="ＭＳ Ｐゴシック"/>
        <family val="3"/>
        <charset val="128"/>
        <scheme val="minor"/>
      </rPr>
      <t>置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投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</si>
  <si>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朗姆酒; 米酒; </t>
    </r>
    <r>
      <rPr>
        <sz val="11"/>
        <color theme="1"/>
        <rFont val="ＭＳ Ｐゴシック"/>
        <family val="3"/>
        <charset val="134"/>
        <scheme val="minor"/>
      </rPr>
      <t>预调</t>
    </r>
    <r>
      <rPr>
        <sz val="11"/>
        <color theme="1"/>
        <rFont val="ＭＳ Ｐゴシック"/>
        <family val="3"/>
        <charset val="128"/>
        <scheme val="minor"/>
      </rPr>
      <t xml:space="preserve">甜酒; 白酒;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</t>
    </r>
  </si>
  <si>
    <t>叶心堂</t>
  </si>
  <si>
    <r>
      <t>武</t>
    </r>
    <r>
      <rPr>
        <sz val="11"/>
        <color theme="1"/>
        <rFont val="ＭＳ Ｐゴシック"/>
        <family val="3"/>
        <charset val="134"/>
        <scheme val="minor"/>
      </rPr>
      <t>汉</t>
    </r>
    <r>
      <rPr>
        <sz val="11"/>
        <color theme="1"/>
        <rFont val="ＭＳ Ｐゴシック"/>
        <family val="3"/>
        <charset val="128"/>
        <scheme val="minor"/>
      </rPr>
      <t>叶开泰健康管理有限公司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</si>
  <si>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开胃酒;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米酒; 利口酒; 黄酒; 白酒; 果酒（含酒精）; 清酒（日本米酒）; 葡萄酒</t>
    </r>
  </si>
  <si>
    <t>贺领</t>
  </si>
  <si>
    <r>
      <t>上海云</t>
    </r>
    <r>
      <rPr>
        <sz val="11"/>
        <color theme="1"/>
        <rFont val="ＭＳ Ｐゴシック"/>
        <family val="3"/>
        <charset val="129"/>
        <scheme val="minor"/>
      </rPr>
      <t>胜</t>
    </r>
    <r>
      <rPr>
        <sz val="11"/>
        <color theme="1"/>
        <rFont val="ＭＳ Ｐゴシック"/>
        <family val="3"/>
        <charset val="128"/>
        <scheme val="minor"/>
      </rPr>
      <t>投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</si>
  <si>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清酒（日本米酒）</t>
    </r>
  </si>
  <si>
    <t>福常淳</t>
  </si>
  <si>
    <t>李厚亮</t>
  </si>
  <si>
    <r>
      <t>黄酒;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朗姆酒; 葡萄酒; 果酒（含酒精）; 伏特加酒</t>
    </r>
  </si>
  <si>
    <t>衡亦坊</t>
  </si>
  <si>
    <t>吴杰</t>
  </si>
  <si>
    <r>
      <t>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果酒（含酒精）; 葡萄酒;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白干酒（中国白酒）;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蒸煮提取物（利口酒和烈酒）; 米酒; 清酒; 黄酒</t>
    </r>
  </si>
  <si>
    <t>潭圣九五至尊</t>
  </si>
  <si>
    <r>
      <t>许</t>
    </r>
    <r>
      <rPr>
        <sz val="11"/>
        <color theme="1"/>
        <rFont val="ＭＳ Ｐゴシック"/>
        <family val="3"/>
        <charset val="128"/>
        <scheme val="minor"/>
      </rPr>
      <t>志</t>
    </r>
    <r>
      <rPr>
        <sz val="11"/>
        <color theme="1"/>
        <rFont val="ＭＳ Ｐゴシック"/>
        <family val="3"/>
        <charset val="134"/>
        <scheme val="minor"/>
      </rPr>
      <t>伟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</si>
  <si>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清酒; 米酒; 果酒（含酒精）</t>
    </r>
  </si>
  <si>
    <t>金禧台七狼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</si>
  <si>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市金禧台酒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</si>
  <si>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米酒; 黄酒; 烈性干酒; 果酒（含酒精）;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酒（烈酒）; 白酒; 白干酒（中国白酒）;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</si>
  <si>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光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醇</t>
    </r>
  </si>
  <si>
    <t>魏信</t>
  </si>
  <si>
    <r>
      <t xml:space="preserve">果酒; 开胃酒; 威士忌; 黄酒;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食用酒精</t>
    </r>
  </si>
  <si>
    <t>超粤</t>
  </si>
  <si>
    <r>
      <t>佛山市岭南功夫企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</si>
  <si>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伏特加酒; 威士忌;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葡萄酒</t>
    </r>
  </si>
  <si>
    <r>
      <t>乌</t>
    </r>
    <r>
      <rPr>
        <sz val="11"/>
        <color theme="1"/>
        <rFont val="ＭＳ Ｐゴシック"/>
        <family val="3"/>
        <charset val="128"/>
        <scheme val="minor"/>
      </rPr>
      <t>坑溪</t>
    </r>
  </si>
  <si>
    <r>
      <t>河南都粮春酒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</si>
  <si>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 xml:space="preserve">食用酒精; 米酒;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开胃酒; 白干酒（中国白酒）; 果酒;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</t>
    </r>
  </si>
  <si>
    <r>
      <t>谭</t>
    </r>
    <r>
      <rPr>
        <sz val="11"/>
        <color theme="1"/>
        <rFont val="ＭＳ Ｐゴシック"/>
        <family val="3"/>
        <charset val="128"/>
        <scheme val="minor"/>
      </rPr>
      <t>掌</t>
    </r>
    <r>
      <rPr>
        <sz val="11"/>
        <color theme="1"/>
        <rFont val="ＭＳ Ｐゴシック"/>
        <family val="3"/>
        <charset val="134"/>
        <scheme val="minor"/>
      </rPr>
      <t>门</t>
    </r>
  </si>
  <si>
    <r>
      <t>北京网田科技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</si>
  <si>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白酒; 黄酒; 利口酒;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清酒（日本米酒）;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</si>
  <si>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荟贤</t>
    </r>
    <r>
      <rPr>
        <sz val="11"/>
        <color theme="1"/>
        <rFont val="ＭＳ Ｐゴシック"/>
        <family val="3"/>
        <charset val="128"/>
        <scheme val="minor"/>
      </rPr>
      <t>小叙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</si>
  <si>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清酒（日本米酒）;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白酒;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</t>
    </r>
  </si>
  <si>
    <t>雀爵</t>
  </si>
  <si>
    <r>
      <t>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食用酒精; 白酒; 葡萄酒; 威士忌;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</t>
    </r>
  </si>
  <si>
    <r>
      <t>古朴坊谷</t>
    </r>
    <r>
      <rPr>
        <sz val="11"/>
        <color theme="1"/>
        <rFont val="ＭＳ Ｐゴシック"/>
        <family val="3"/>
        <charset val="134"/>
        <scheme val="minor"/>
      </rPr>
      <t>酿</t>
    </r>
  </si>
  <si>
    <r>
      <t>成都市</t>
    </r>
    <r>
      <rPr>
        <sz val="11"/>
        <color theme="1"/>
        <rFont val="ＭＳ Ｐゴシック"/>
        <family val="3"/>
        <charset val="134"/>
        <scheme val="minor"/>
      </rPr>
      <t>赋</t>
    </r>
    <r>
      <rPr>
        <sz val="11"/>
        <color theme="1"/>
        <rFont val="ＭＳ Ｐゴシック"/>
        <family val="3"/>
        <charset val="128"/>
        <scheme val="minor"/>
      </rPr>
      <t>酒酒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</si>
  <si>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果酒（含酒精）; 威士忌; 黄酒; 白酒; 利口酒; 伏特加酒;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</si>
  <si>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MGXYZ</t>
  </si>
  <si>
    <r>
      <t>湖南芒果融</t>
    </r>
    <r>
      <rPr>
        <sz val="11"/>
        <color theme="1"/>
        <rFont val="ＭＳ Ｐゴシック"/>
        <family val="3"/>
        <charset val="134"/>
        <scheme val="minor"/>
      </rPr>
      <t>创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</si>
  <si>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 xml:space="preserve">葡萄酒; 苹果酒; 米酒;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黄酒;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蒸煮提取物（利口酒和烈酒）;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</si>
  <si>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荣年</t>
    </r>
    <r>
      <rPr>
        <sz val="11"/>
        <color theme="1"/>
        <rFont val="ＭＳ Ｐゴシック"/>
        <family val="3"/>
        <charset val="134"/>
        <scheme val="minor"/>
      </rPr>
      <t>经</t>
    </r>
    <r>
      <rPr>
        <sz val="11"/>
        <color theme="1"/>
        <rFont val="ＭＳ Ｐゴシック"/>
        <family val="3"/>
        <charset val="128"/>
        <scheme val="minor"/>
      </rPr>
      <t>典</t>
    </r>
  </si>
  <si>
    <r>
      <t>徐州美秀芝商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</si>
  <si>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苹果酒; 威士忌;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</si>
  <si>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荣年酒房</t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</si>
  <si>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米酒; 威士忌;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苹果酒;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</si>
  <si>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葡</t>
    </r>
    <r>
      <rPr>
        <sz val="11"/>
        <color theme="1"/>
        <rFont val="ＭＳ Ｐゴシック"/>
        <family val="3"/>
        <charset val="134"/>
        <scheme val="minor"/>
      </rPr>
      <t>贝兰</t>
    </r>
  </si>
  <si>
    <r>
      <t xml:space="preserve">烈酒; 白葡萄酒; 葡萄酒; 果酒; 青稞酒; 汽酒; 白酒; 黄酒;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</si>
  <si>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榧融川</t>
  </si>
  <si>
    <r>
      <t>杭州数</t>
    </r>
    <r>
      <rPr>
        <sz val="11"/>
        <color theme="1"/>
        <rFont val="ＭＳ Ｐゴシック"/>
        <family val="3"/>
        <charset val="134"/>
        <scheme val="minor"/>
      </rPr>
      <t>实</t>
    </r>
    <r>
      <rPr>
        <sz val="11"/>
        <color theme="1"/>
        <rFont val="ＭＳ Ｐゴシック"/>
        <family val="3"/>
        <charset val="128"/>
        <scheme val="minor"/>
      </rPr>
      <t>界域</t>
    </r>
    <r>
      <rPr>
        <sz val="11"/>
        <color theme="1"/>
        <rFont val="ＭＳ Ｐゴシック"/>
        <family val="3"/>
        <charset val="134"/>
        <scheme val="minor"/>
      </rPr>
      <t>镇</t>
    </r>
    <r>
      <rPr>
        <sz val="11"/>
        <color theme="1"/>
        <rFont val="ＭＳ Ｐゴシック"/>
        <family val="3"/>
        <charset val="128"/>
        <scheme val="minor"/>
      </rPr>
      <t>村</t>
    </r>
    <r>
      <rPr>
        <sz val="11"/>
        <color theme="1"/>
        <rFont val="ＭＳ Ｐゴシック"/>
        <family val="3"/>
        <charset val="134"/>
        <scheme val="minor"/>
      </rPr>
      <t>产</t>
    </r>
    <r>
      <rPr>
        <sz val="11"/>
        <color theme="1"/>
        <rFont val="ＭＳ Ｐゴシック"/>
        <family val="3"/>
        <charset val="128"/>
        <scheme val="minor"/>
      </rPr>
      <t>智</t>
    </r>
    <r>
      <rPr>
        <sz val="11"/>
        <color theme="1"/>
        <rFont val="ＭＳ Ｐゴシック"/>
        <family val="3"/>
        <charset val="134"/>
        <scheme val="minor"/>
      </rPr>
      <t>库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</si>
  <si>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烈酒;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果酒（含酒精）; 青稞酒;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</si>
  <si>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r>
      <t>燕</t>
    </r>
    <r>
      <rPr>
        <sz val="11"/>
        <color theme="1"/>
        <rFont val="ＭＳ Ｐゴシック"/>
        <family val="3"/>
        <charset val="134"/>
        <scheme val="minor"/>
      </rPr>
      <t>鲜</t>
    </r>
    <r>
      <rPr>
        <sz val="11"/>
        <color theme="1"/>
        <rFont val="ＭＳ Ｐゴシック"/>
        <family val="3"/>
        <charset val="128"/>
        <scheme val="minor"/>
      </rPr>
      <t>谷</t>
    </r>
  </si>
  <si>
    <t>肖云</t>
  </si>
  <si>
    <r>
      <t>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清酒;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</si>
  <si>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t>君蓬</t>
  </si>
  <si>
    <r>
      <t>高粱酒; 清酒; 果酒（含酒精）; 葡萄酒; 白酒;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食用酒精; 烈酒</t>
    </r>
  </si>
  <si>
    <r>
      <t>华</t>
    </r>
    <r>
      <rPr>
        <sz val="11"/>
        <color theme="1"/>
        <rFont val="ＭＳ Ｐゴシック"/>
        <family val="3"/>
        <charset val="128"/>
        <scheme val="minor"/>
      </rPr>
      <t>窑匠</t>
    </r>
  </si>
  <si>
    <r>
      <t>谭</t>
    </r>
    <r>
      <rPr>
        <sz val="11"/>
        <color theme="1"/>
        <rFont val="ＭＳ Ｐゴシック"/>
        <family val="3"/>
        <charset val="128"/>
        <scheme val="minor"/>
      </rPr>
      <t>威</t>
    </r>
  </si>
  <si>
    <r>
      <t>开胃酒;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果酒（含酒精）; 威士忌; 烈酒; 黄酒; 葡萄酒</t>
    </r>
  </si>
  <si>
    <t>ZHQYP</t>
  </si>
  <si>
    <r>
      <t>邓</t>
    </r>
    <r>
      <rPr>
        <sz val="11"/>
        <color theme="1"/>
        <rFont val="ＭＳ Ｐゴシック"/>
        <family val="3"/>
        <charset val="128"/>
        <scheme val="minor"/>
      </rPr>
      <t>占峰</t>
    </r>
  </si>
  <si>
    <r>
      <t xml:space="preserve">高粱酒; 白葡萄酒;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烈酒; 黄酒; 烈性干酒; 白酒; 果酒; 甜酒</t>
    </r>
  </si>
  <si>
    <r>
      <t>玺</t>
    </r>
    <r>
      <rPr>
        <sz val="11"/>
        <color theme="1"/>
        <rFont val="ＭＳ Ｐゴシック"/>
        <family val="3"/>
        <charset val="128"/>
        <scheme val="minor"/>
      </rPr>
      <t>傲</t>
    </r>
  </si>
  <si>
    <r>
      <t>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食用酒精; 葡萄酒; 威士忌; 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</si>
  <si>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风</t>
    </r>
    <r>
      <rPr>
        <sz val="11"/>
        <color theme="1"/>
        <rFont val="ＭＳ Ｐゴシック"/>
        <family val="3"/>
        <charset val="128"/>
        <scheme val="minor"/>
      </rPr>
      <t>巢刺</t>
    </r>
    <r>
      <rPr>
        <sz val="11"/>
        <color theme="1"/>
        <rFont val="ＭＳ Ｐゴシック"/>
        <family val="3"/>
        <charset val="134"/>
        <scheme val="minor"/>
      </rPr>
      <t>剑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</si>
  <si>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米酒; 白干酒（中国白酒）;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黄酒; 果酒; 食用酒精; 开胃酒; 白酒</t>
    </r>
  </si>
  <si>
    <r>
      <t>鹤岗</t>
    </r>
    <r>
      <rPr>
        <sz val="11"/>
        <color theme="1"/>
        <rFont val="ＭＳ Ｐゴシック"/>
        <family val="3"/>
        <charset val="128"/>
        <scheme val="minor"/>
      </rPr>
      <t>君益机械制造有限公司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</si>
  <si>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米酒; 白酒;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餐后酒（利口酒和烈酒）; 开胃酒; 葡萄酒; 黄酒</t>
    </r>
  </si>
  <si>
    <t>府榜九五至尊</t>
  </si>
  <si>
    <r>
      <t>芦淞区上</t>
    </r>
    <r>
      <rPr>
        <sz val="11"/>
        <color theme="1"/>
        <rFont val="ＭＳ Ｐゴシック"/>
        <family val="3"/>
        <charset val="129"/>
        <scheme val="minor"/>
      </rPr>
      <t>胜</t>
    </r>
    <r>
      <rPr>
        <sz val="11"/>
        <color theme="1"/>
        <rFont val="ＭＳ Ｐゴシック"/>
        <family val="3"/>
        <charset val="128"/>
        <scheme val="minor"/>
      </rPr>
      <t>根百</t>
    </r>
    <r>
      <rPr>
        <sz val="11"/>
        <color theme="1"/>
        <rFont val="ＭＳ Ｐゴシック"/>
        <family val="3"/>
        <charset val="134"/>
        <scheme val="minor"/>
      </rPr>
      <t>货</t>
    </r>
    <r>
      <rPr>
        <sz val="11"/>
        <color theme="1"/>
        <rFont val="ＭＳ Ｐゴシック"/>
        <family val="3"/>
        <charset val="128"/>
        <scheme val="minor"/>
      </rPr>
      <t>店</t>
    </r>
  </si>
  <si>
    <r>
      <t>清酒（日本米酒）;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威士忌; 开胃酒; 黄酒; 果酒（含酒精）;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</t>
    </r>
  </si>
  <si>
    <r>
      <t>中</t>
    </r>
    <r>
      <rPr>
        <sz val="11"/>
        <color theme="1"/>
        <rFont val="ＭＳ Ｐゴシック"/>
        <family val="3"/>
        <charset val="134"/>
        <scheme val="minor"/>
      </rPr>
      <t>圆</t>
    </r>
    <r>
      <rPr>
        <sz val="11"/>
        <color theme="1"/>
        <rFont val="ＭＳ Ｐゴシック"/>
        <family val="3"/>
        <charset val="128"/>
        <scheme val="minor"/>
      </rPr>
      <t>二</t>
    </r>
  </si>
  <si>
    <r>
      <t>徐</t>
    </r>
    <r>
      <rPr>
        <sz val="11"/>
        <color theme="1"/>
        <rFont val="ＭＳ Ｐゴシック"/>
        <family val="3"/>
        <charset val="134"/>
        <scheme val="minor"/>
      </rPr>
      <t>铁</t>
    </r>
    <r>
      <rPr>
        <sz val="11"/>
        <color theme="1"/>
        <rFont val="ＭＳ Ｐゴシック"/>
        <family val="3"/>
        <charset val="128"/>
        <scheme val="minor"/>
      </rPr>
      <t>柱</t>
    </r>
  </si>
  <si>
    <r>
      <t xml:space="preserve">蜂蜜酒; 朗姆酒; 白酒; 黄酒;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清酒（日本米酒）; 米酒; 果酒（含酒精）</t>
    </r>
  </si>
  <si>
    <t>衡立方</t>
  </si>
  <si>
    <r>
      <t>贵</t>
    </r>
    <r>
      <rPr>
        <sz val="11"/>
        <color theme="1"/>
        <rFont val="ＭＳ Ｐゴシック"/>
        <family val="3"/>
        <charset val="128"/>
        <scheme val="minor"/>
      </rPr>
      <t>水琴有限公司</t>
    </r>
  </si>
  <si>
    <r>
      <t xml:space="preserve">葡萄酒; 白酒; 果酒（含酒精）; 米酒; 开胃酒; 高粱酒;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>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</t>
    </r>
  </si>
  <si>
    <r>
      <t>诗</t>
    </r>
    <r>
      <rPr>
        <sz val="11"/>
        <color theme="1"/>
        <rFont val="ＭＳ Ｐゴシック"/>
        <family val="3"/>
        <charset val="128"/>
        <scheme val="minor"/>
      </rPr>
      <t>唐似</t>
    </r>
    <r>
      <rPr>
        <sz val="11"/>
        <color theme="1"/>
        <rFont val="ＭＳ Ｐゴシック"/>
        <family val="3"/>
        <charset val="134"/>
        <scheme val="minor"/>
      </rPr>
      <t>锦</t>
    </r>
  </si>
  <si>
    <r>
      <t>米酒; 果酒（含酒精）; 白酒;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餐后酒（利口酒和烈酒）;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苹果酒; 葡萄酒; 露酒</t>
    </r>
  </si>
  <si>
    <r>
      <t>丽</t>
    </r>
    <r>
      <rPr>
        <sz val="11"/>
        <color theme="1"/>
        <rFont val="ＭＳ Ｐゴシック"/>
        <family val="3"/>
        <charset val="128"/>
        <scheme val="minor"/>
      </rPr>
      <t>达酒</t>
    </r>
    <r>
      <rPr>
        <sz val="11"/>
        <color theme="1"/>
        <rFont val="ＭＳ Ｐゴシック"/>
        <family val="3"/>
        <charset val="134"/>
        <scheme val="minor"/>
      </rPr>
      <t>业</t>
    </r>
  </si>
  <si>
    <r>
      <t>广</t>
    </r>
    <r>
      <rPr>
        <sz val="11"/>
        <color theme="1"/>
        <rFont val="ＭＳ Ｐゴシック"/>
        <family val="3"/>
        <charset val="134"/>
        <scheme val="minor"/>
      </rPr>
      <t>东丽</t>
    </r>
    <r>
      <rPr>
        <sz val="11"/>
        <color theme="1"/>
        <rFont val="ＭＳ Ｐゴシック"/>
        <family val="3"/>
        <charset val="128"/>
        <scheme val="minor"/>
      </rPr>
      <t>达国</t>
    </r>
    <r>
      <rPr>
        <sz val="11"/>
        <color theme="1"/>
        <rFont val="ＭＳ Ｐゴシック"/>
        <family val="3"/>
        <charset val="134"/>
        <scheme val="minor"/>
      </rPr>
      <t>际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</si>
  <si>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清酒（日本米酒）;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葡萄酒; 黄酒; 青稞酒</t>
    </r>
  </si>
  <si>
    <r>
      <t>珑</t>
    </r>
    <r>
      <rPr>
        <sz val="11"/>
        <color theme="1"/>
        <rFont val="ＭＳ Ｐゴシック"/>
        <family val="3"/>
        <charset val="128"/>
        <scheme val="minor"/>
      </rPr>
      <t>耀星之光</t>
    </r>
  </si>
  <si>
    <r>
      <t>上海葡醇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</si>
  <si>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果酒（含酒精）; 清酒（日本米酒）; 食用酒精;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利口酒;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</t>
    </r>
  </si>
  <si>
    <r>
      <t>无二</t>
    </r>
    <r>
      <rPr>
        <sz val="11"/>
        <color theme="1"/>
        <rFont val="ＭＳ Ｐゴシック"/>
        <family val="3"/>
        <charset val="134"/>
        <scheme val="minor"/>
      </rPr>
      <t>闲</t>
    </r>
    <r>
      <rPr>
        <sz val="11"/>
        <color theme="1"/>
        <rFont val="ＭＳ Ｐゴシック"/>
        <family val="3"/>
        <charset val="128"/>
        <scheme val="minor"/>
      </rPr>
      <t>庭</t>
    </r>
  </si>
  <si>
    <r>
      <t>义乌</t>
    </r>
    <r>
      <rPr>
        <sz val="11"/>
        <color theme="1"/>
        <rFont val="ＭＳ Ｐゴシック"/>
        <family val="3"/>
        <charset val="128"/>
        <scheme val="minor"/>
      </rPr>
      <t>市世才</t>
    </r>
    <r>
      <rPr>
        <sz val="11"/>
        <color theme="1"/>
        <rFont val="ＭＳ Ｐゴシック"/>
        <family val="3"/>
        <charset val="134"/>
        <scheme val="minor"/>
      </rPr>
      <t>风华</t>
    </r>
    <r>
      <rPr>
        <sz val="11"/>
        <color theme="1"/>
        <rFont val="ＭＳ Ｐゴシック"/>
        <family val="3"/>
        <charset val="128"/>
        <scheme val="minor"/>
      </rPr>
      <t>装</t>
    </r>
    <r>
      <rPr>
        <sz val="11"/>
        <color theme="1"/>
        <rFont val="ＭＳ Ｐゴシック"/>
        <family val="3"/>
        <charset val="134"/>
        <scheme val="minor"/>
      </rPr>
      <t>饰</t>
    </r>
    <r>
      <rPr>
        <sz val="11"/>
        <color theme="1"/>
        <rFont val="ＭＳ Ｐゴシック"/>
        <family val="3"/>
        <charset val="128"/>
        <scheme val="minor"/>
      </rPr>
      <t>材料有限公司</t>
    </r>
  </si>
  <si>
    <r>
      <t>食用酒精; 青稞酒;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白酒; 威士忌</t>
    </r>
  </si>
  <si>
    <t>薰翠</t>
  </si>
  <si>
    <r>
      <t>威士忌; 清酒（日本米酒）; 米酒; 开胃酒; 黄酒; 白酒;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</t>
    </r>
  </si>
  <si>
    <t>华玺</t>
  </si>
  <si>
    <t>李花</t>
  </si>
  <si>
    <r>
      <t>蝮蛇酒;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佐餐酒; 五加皮酒（中国混合烈酒）; 利口酒; 蜂蜜酒;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刺五加酒; 甜酒</t>
    </r>
  </si>
  <si>
    <t>奔澳庄园</t>
  </si>
  <si>
    <r>
      <t>陈</t>
    </r>
    <r>
      <rPr>
        <sz val="11"/>
        <color theme="1"/>
        <rFont val="ＭＳ Ｐゴシック"/>
        <family val="3"/>
        <charset val="128"/>
        <scheme val="minor"/>
      </rPr>
      <t>小</t>
    </r>
    <r>
      <rPr>
        <sz val="11"/>
        <color theme="1"/>
        <rFont val="ＭＳ Ｐゴシック"/>
        <family val="3"/>
        <charset val="134"/>
        <scheme val="minor"/>
      </rPr>
      <t>丽</t>
    </r>
  </si>
  <si>
    <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果酒; 蒸煮提取物（利口酒和烈酒）;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食用酒精;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米酒</t>
    </r>
  </si>
  <si>
    <t>百御亭</t>
  </si>
  <si>
    <r>
      <t>河北麒鑫酒</t>
    </r>
    <r>
      <rPr>
        <sz val="11"/>
        <color theme="1"/>
        <rFont val="ＭＳ Ｐゴシック"/>
        <family val="3"/>
        <charset val="134"/>
        <scheme val="minor"/>
      </rPr>
      <t>类销</t>
    </r>
    <r>
      <rPr>
        <sz val="11"/>
        <color theme="1"/>
        <rFont val="ＭＳ Ｐゴシック"/>
        <family val="3"/>
        <charset val="128"/>
        <scheme val="minor"/>
      </rPr>
      <t>售有限公司</t>
    </r>
  </si>
  <si>
    <r>
      <t>葡萄酒; 清酒（日本米酒）; 白酒; 果酒（含酒精）;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伏特加酒;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</si>
  <si>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福园笑</t>
  </si>
  <si>
    <r>
      <t>姚</t>
    </r>
    <r>
      <rPr>
        <sz val="11"/>
        <color theme="1"/>
        <rFont val="ＭＳ Ｐゴシック"/>
        <family val="3"/>
        <charset val="129"/>
        <scheme val="minor"/>
      </rPr>
      <t>强</t>
    </r>
  </si>
  <si>
    <r>
      <t>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米酒;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果酒; 烈酒;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白酒</t>
    </r>
  </si>
  <si>
    <r>
      <t>星光</t>
    </r>
    <r>
      <rPr>
        <sz val="11"/>
        <color theme="1"/>
        <rFont val="ＭＳ Ｐゴシック"/>
        <family val="3"/>
        <charset val="134"/>
        <scheme val="minor"/>
      </rPr>
      <t>华远</t>
    </r>
  </si>
  <si>
    <r>
      <t>赤峰</t>
    </r>
    <r>
      <rPr>
        <sz val="11"/>
        <color theme="1"/>
        <rFont val="ＭＳ Ｐゴシック"/>
        <family val="3"/>
        <charset val="134"/>
        <scheme val="minor"/>
      </rPr>
      <t>华远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</si>
  <si>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黄酒; 葡萄酒; 果酒（含酒精）; 米酒; 汽酒; 青稞酒; 食用酒精</t>
    </r>
  </si>
  <si>
    <r>
      <t>云滇</t>
    </r>
    <r>
      <rPr>
        <sz val="11"/>
        <color theme="1"/>
        <rFont val="ＭＳ Ｐゴシック"/>
        <family val="3"/>
        <charset val="134"/>
        <scheme val="minor"/>
      </rPr>
      <t>亿</t>
    </r>
    <r>
      <rPr>
        <sz val="11"/>
        <color theme="1"/>
        <rFont val="ＭＳ Ｐゴシック"/>
        <family val="3"/>
        <charset val="128"/>
        <scheme val="minor"/>
      </rPr>
      <t>路</t>
    </r>
    <r>
      <rPr>
        <sz val="11"/>
        <color theme="1"/>
        <rFont val="ＭＳ Ｐゴシック"/>
        <family val="3"/>
        <charset val="134"/>
        <scheme val="minor"/>
      </rPr>
      <t>领鲜</t>
    </r>
  </si>
  <si>
    <r>
      <t>亿</t>
    </r>
    <r>
      <rPr>
        <sz val="11"/>
        <color theme="1"/>
        <rFont val="ＭＳ Ｐゴシック"/>
        <family val="3"/>
        <charset val="128"/>
        <scheme val="minor"/>
      </rPr>
      <t>路</t>
    </r>
    <r>
      <rPr>
        <sz val="11"/>
        <color theme="1"/>
        <rFont val="ＭＳ Ｐゴシック"/>
        <family val="3"/>
        <charset val="134"/>
        <scheme val="minor"/>
      </rPr>
      <t>领鲜</t>
    </r>
    <r>
      <rPr>
        <sz val="11"/>
        <color theme="1"/>
        <rFont val="ＭＳ Ｐゴシック"/>
        <family val="3"/>
        <charset val="128"/>
        <scheme val="minor"/>
      </rPr>
      <t>（云南）供</t>
    </r>
    <r>
      <rPr>
        <sz val="11"/>
        <color theme="1"/>
        <rFont val="ＭＳ Ｐゴシック"/>
        <family val="3"/>
        <charset val="134"/>
        <scheme val="minor"/>
      </rPr>
      <t>应链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</si>
  <si>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 xml:space="preserve">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汽酒;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蜂蜜酒</t>
    </r>
  </si>
  <si>
    <r>
      <t>百脉泉</t>
    </r>
    <r>
      <rPr>
        <sz val="11"/>
        <color theme="1"/>
        <rFont val="ＭＳ Ｐゴシック"/>
        <family val="3"/>
        <charset val="134"/>
        <scheme val="minor"/>
      </rPr>
      <t>齐鲁</t>
    </r>
    <r>
      <rPr>
        <sz val="11"/>
        <color theme="1"/>
        <rFont val="ＭＳ Ｐゴシック"/>
        <family val="3"/>
        <charset val="128"/>
        <scheme val="minor"/>
      </rPr>
      <t>壹号</t>
    </r>
  </si>
  <si>
    <r>
      <t>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百脉泉酒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股份有限公司</t>
    </r>
  </si>
  <si>
    <r>
      <t>果酒（含酒精）; 汽酒; 蜂蜜酒;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酸酒（低等葡萄酒）; 葡萄酒; 黄酒; 白酒; 开胃酒; 苹果酒</t>
    </r>
  </si>
  <si>
    <t>AOBENFU</t>
  </si>
  <si>
    <t>彭小菊</t>
  </si>
  <si>
    <r>
      <t>白酒; 果酒（含酒精）; 清酒;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预调</t>
    </r>
    <r>
      <rPr>
        <sz val="11"/>
        <color theme="1"/>
        <rFont val="ＭＳ Ｐゴシック"/>
        <family val="3"/>
        <charset val="128"/>
        <scheme val="minor"/>
      </rPr>
      <t>甜酒;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主的开胃酒; 米酒</t>
    </r>
  </si>
  <si>
    <r>
      <t>一聚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友 GET TOGETHER AS FRIENDS</t>
    </r>
  </si>
  <si>
    <r>
      <t>广州一聚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友餐</t>
    </r>
    <r>
      <rPr>
        <sz val="11"/>
        <color theme="1"/>
        <rFont val="ＭＳ Ｐゴシック"/>
        <family val="3"/>
        <charset val="134"/>
        <scheme val="minor"/>
      </rPr>
      <t>饮发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</si>
  <si>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蒸煮提取物（利口酒和烈酒）; 黄酒; 清酒（日本米酒）;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朗姆酒; 葡萄酒; 薄荷酒;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利口酒; 白酒</t>
    </r>
  </si>
  <si>
    <r>
      <t>法伽</t>
    </r>
    <r>
      <rPr>
        <sz val="11"/>
        <color theme="1"/>
        <rFont val="ＭＳ Ｐゴシック"/>
        <family val="3"/>
        <charset val="134"/>
        <scheme val="minor"/>
      </rPr>
      <t>纳</t>
    </r>
  </si>
  <si>
    <t>谢辉</t>
  </si>
  <si>
    <r>
      <t xml:space="preserve">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葡萄酒;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</t>
    </r>
  </si>
  <si>
    <r>
      <t>鸿</t>
    </r>
    <r>
      <rPr>
        <sz val="11"/>
        <color theme="1"/>
        <rFont val="ＭＳ Ｐゴシック"/>
        <family val="3"/>
        <charset val="128"/>
        <scheme val="minor"/>
      </rPr>
      <t>湘商名</t>
    </r>
  </si>
  <si>
    <r>
      <t>广州</t>
    </r>
    <r>
      <rPr>
        <sz val="11"/>
        <color theme="1"/>
        <rFont val="ＭＳ Ｐゴシック"/>
        <family val="3"/>
        <charset val="134"/>
        <scheme val="minor"/>
      </rPr>
      <t>亿联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</si>
  <si>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高粱酒;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威士忌; 烈酒;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白酒; 米酒</t>
    </r>
  </si>
  <si>
    <r>
      <t>鲁</t>
    </r>
    <r>
      <rPr>
        <sz val="11"/>
        <color theme="1"/>
        <rFont val="ＭＳ Ｐゴシック"/>
        <family val="3"/>
        <charset val="128"/>
        <scheme val="minor"/>
      </rPr>
      <t>梦</t>
    </r>
    <r>
      <rPr>
        <sz val="11"/>
        <color theme="1"/>
        <rFont val="ＭＳ Ｐゴシック"/>
        <family val="3"/>
        <charset val="134"/>
        <scheme val="minor"/>
      </rPr>
      <t>兰</t>
    </r>
  </si>
  <si>
    <r>
      <t>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浩翔固源春酒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</si>
  <si>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梨酒; 米酒; 黄酒; 果酒; 白酒; 葡萄酒; 清酒（日本米酒）; 利口酒;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露酒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</si>
  <si>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 xml:space="preserve">酒; 露酒;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梅酒; 高粱酒;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白干酒（中国白酒）;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青梅酒</t>
    </r>
  </si>
  <si>
    <t>何丹</t>
  </si>
  <si>
    <r>
      <t>含酒精的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尾酒混合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品; 含酒精的水果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制好的葡萄酒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</si>
  <si>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交建</t>
    </r>
    <r>
      <rPr>
        <sz val="11"/>
        <color theme="1"/>
        <rFont val="ＭＳ Ｐゴシック"/>
        <family val="3"/>
        <charset val="134"/>
        <scheme val="minor"/>
      </rPr>
      <t>银</t>
    </r>
    <r>
      <rPr>
        <sz val="11"/>
        <color theme="1"/>
        <rFont val="ＭＳ Ｐゴシック"/>
        <family val="3"/>
        <charset val="128"/>
        <scheme val="minor"/>
      </rPr>
      <t>路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</si>
  <si>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州交投商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物流有限公司</t>
    </r>
  </si>
  <si>
    <r>
      <t>果酒（含酒精）;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食用酒精; 米酒; 白酒; 青稞酒;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</si>
  <si>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梦回朝歌淑女</t>
  </si>
  <si>
    <r>
      <t>徐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旗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</si>
  <si>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葡萄酒; 黄酒; 威士忌;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露酒</t>
    </r>
  </si>
  <si>
    <t>打工咖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</si>
  <si>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食用酒精; 餐后酒（利口酒和烈酒）;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蜂蜜酒; 酸酒（低等葡萄酒）;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</t>
    </r>
  </si>
  <si>
    <t>斛盅映月</t>
  </si>
  <si>
    <r>
      <t>张</t>
    </r>
    <r>
      <rPr>
        <sz val="11"/>
        <color theme="1"/>
        <rFont val="ＭＳ Ｐゴシック"/>
        <family val="3"/>
        <charset val="128"/>
        <scheme val="minor"/>
      </rPr>
      <t>光乾</t>
    </r>
  </si>
  <si>
    <r>
      <t>以蒸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主的开胃酒;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蒸煮提取物（利口酒和烈酒）;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白干酒（中国白酒）; 烈酒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高粱酒; 青稞酒</t>
    </r>
  </si>
  <si>
    <r>
      <t>西施</t>
    </r>
    <r>
      <rPr>
        <sz val="11"/>
        <color theme="1"/>
        <rFont val="ＭＳ Ｐゴシック"/>
        <family val="3"/>
        <charset val="134"/>
        <scheme val="minor"/>
      </rPr>
      <t>畅</t>
    </r>
  </si>
  <si>
    <r>
      <t>吴</t>
    </r>
    <r>
      <rPr>
        <sz val="11"/>
        <color theme="1"/>
        <rFont val="ＭＳ Ｐゴシック"/>
        <family val="3"/>
        <charset val="134"/>
        <scheme val="minor"/>
      </rPr>
      <t>坚</t>
    </r>
    <r>
      <rPr>
        <sz val="11"/>
        <color theme="1"/>
        <rFont val="ＭＳ Ｐゴシック"/>
        <family val="3"/>
        <charset val="129"/>
        <scheme val="minor"/>
      </rPr>
      <t>强</t>
    </r>
  </si>
  <si>
    <r>
      <t>威士忌; 米酒; 利口酒;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白酒; 蜂蜜酒; 清酒（日本米酒）;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</t>
    </r>
  </si>
  <si>
    <r>
      <t>大</t>
    </r>
    <r>
      <rPr>
        <sz val="11"/>
        <color theme="1"/>
        <rFont val="ＭＳ Ｐゴシック"/>
        <family val="3"/>
        <charset val="134"/>
        <scheme val="minor"/>
      </rPr>
      <t>辽</t>
    </r>
    <r>
      <rPr>
        <sz val="11"/>
        <color theme="1"/>
        <rFont val="ＭＳ Ｐゴシック"/>
        <family val="3"/>
        <charset val="128"/>
        <scheme val="minor"/>
      </rPr>
      <t>运</t>
    </r>
  </si>
  <si>
    <r>
      <t>骆</t>
    </r>
    <r>
      <rPr>
        <sz val="11"/>
        <color theme="1"/>
        <rFont val="ＭＳ Ｐゴシック"/>
        <family val="3"/>
        <charset val="128"/>
        <scheme val="minor"/>
      </rPr>
      <t>利琴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</si>
  <si>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黄酒; 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白干酒（中国白酒）;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清酒（日本米酒）; 白酒; 果酒（含酒精）</t>
    </r>
  </si>
  <si>
    <r>
      <t>莱</t>
    </r>
    <r>
      <rPr>
        <sz val="11"/>
        <color theme="1"/>
        <rFont val="ＭＳ Ｐゴシック"/>
        <family val="3"/>
        <charset val="134"/>
        <scheme val="minor"/>
      </rPr>
      <t>贝</t>
    </r>
    <r>
      <rPr>
        <sz val="11"/>
        <color theme="1"/>
        <rFont val="ＭＳ Ｐゴシック"/>
        <family val="3"/>
        <charset val="128"/>
        <scheme val="minor"/>
      </rPr>
      <t>蕊</t>
    </r>
  </si>
  <si>
    <t>李斌</t>
  </si>
  <si>
    <r>
      <t>果酒; 蜂蜜酒; 清酒;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烈酒; 朗姆酒;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薄荷酒; 开胃酒</t>
    </r>
  </si>
  <si>
    <r>
      <t>酣</t>
    </r>
    <r>
      <rPr>
        <sz val="11"/>
        <color theme="1"/>
        <rFont val="ＭＳ Ｐゴシック"/>
        <family val="3"/>
        <charset val="134"/>
        <scheme val="minor"/>
      </rPr>
      <t>觞</t>
    </r>
  </si>
  <si>
    <r>
      <t>揭阳市</t>
    </r>
    <r>
      <rPr>
        <sz val="11"/>
        <color theme="1"/>
        <rFont val="ＭＳ Ｐゴシック"/>
        <family val="3"/>
        <charset val="134"/>
        <scheme val="minor"/>
      </rPr>
      <t>嵘</t>
    </r>
    <r>
      <rPr>
        <sz val="11"/>
        <color theme="1"/>
        <rFont val="ＭＳ Ｐゴシック"/>
        <family val="3"/>
        <charset val="128"/>
        <scheme val="minor"/>
      </rPr>
      <t>晟信息科技有限公司</t>
    </r>
  </si>
  <si>
    <r>
      <t>葡萄酒; 白酒; 青稞酒; 蜂蜜酒; 薄荷酒;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酸酒（低等葡萄酒）; 米酒; 开胃酒</t>
    </r>
  </si>
  <si>
    <r>
      <t>四川省国投羌山科技集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股份有限公司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</si>
  <si>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食用酒精;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梅酒; 开胃酒; 白酒; 米酒; 汽酒</t>
    </r>
  </si>
  <si>
    <r>
      <t>文</t>
    </r>
    <r>
      <rPr>
        <sz val="11"/>
        <color theme="1"/>
        <rFont val="ＭＳ Ｐゴシック"/>
        <family val="3"/>
        <charset val="134"/>
        <scheme val="minor"/>
      </rPr>
      <t>进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</si>
  <si>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李文</t>
    </r>
    <r>
      <rPr>
        <sz val="11"/>
        <color theme="1"/>
        <rFont val="ＭＳ Ｐゴシック"/>
        <family val="3"/>
        <charset val="134"/>
        <scheme val="minor"/>
      </rPr>
      <t>进</t>
    </r>
  </si>
  <si>
    <r>
      <t>高粱酒;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 xml:space="preserve">酒; 果酒;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酒（烈酒）;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</t>
    </r>
  </si>
  <si>
    <t>荣年壹号</t>
  </si>
  <si>
    <r>
      <t>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苹果酒;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威士忌; 白酒</t>
    </r>
  </si>
  <si>
    <t>眉州刘家坊</t>
  </si>
  <si>
    <r>
      <t>刘</t>
    </r>
    <r>
      <rPr>
        <sz val="11"/>
        <color theme="1"/>
        <rFont val="ＭＳ Ｐゴシック"/>
        <family val="3"/>
        <charset val="134"/>
        <scheme val="minor"/>
      </rPr>
      <t>刚</t>
    </r>
  </si>
  <si>
    <r>
      <t xml:space="preserve">白酒; 果酒（含酒精）;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青稞酒;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葡萄酒</t>
    </r>
  </si>
  <si>
    <r>
      <t>赚</t>
    </r>
    <r>
      <rPr>
        <sz val="11"/>
        <color theme="1"/>
        <rFont val="ＭＳ Ｐゴシック"/>
        <family val="3"/>
        <charset val="128"/>
        <scheme val="minor"/>
      </rPr>
      <t>礼享</t>
    </r>
  </si>
  <si>
    <t>安娜</t>
  </si>
  <si>
    <t>青稞酒; 汽酒; 白酒; 葡萄酒; 草莓酒; 露酒; 梅酒; 米酒; 果酒; 松叶酒</t>
  </si>
  <si>
    <r>
      <t>为</t>
    </r>
    <r>
      <rPr>
        <sz val="11"/>
        <color theme="1"/>
        <rFont val="ＭＳ Ｐゴシック"/>
        <family val="3"/>
        <charset val="128"/>
        <scheme val="minor"/>
      </rPr>
      <t>客陶</t>
    </r>
  </si>
  <si>
    <r>
      <t>吉林淘食客</t>
    </r>
    <r>
      <rPr>
        <sz val="11"/>
        <color theme="1"/>
        <rFont val="ＭＳ Ｐゴシック"/>
        <family val="3"/>
        <charset val="134"/>
        <scheme val="minor"/>
      </rPr>
      <t>经贸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</si>
  <si>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蜂蜜酒; 米酒; 白葡萄酒;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葡萄酒;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白酒</t>
    </r>
  </si>
  <si>
    <r>
      <t>尚品酒世界（云南）酒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</si>
  <si>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含酒精的水果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</si>
  <si>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小潭香</t>
  </si>
  <si>
    <r>
      <t>东</t>
    </r>
    <r>
      <rPr>
        <sz val="11"/>
        <color theme="1"/>
        <rFont val="ＭＳ Ｐゴシック"/>
        <family val="3"/>
        <charset val="128"/>
        <scheme val="minor"/>
      </rPr>
      <t>莞市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城</t>
    </r>
    <r>
      <rPr>
        <sz val="11"/>
        <color theme="1"/>
        <rFont val="ＭＳ Ｐゴシック"/>
        <family val="3"/>
        <charset val="134"/>
        <scheme val="minor"/>
      </rPr>
      <t>顺亿</t>
    </r>
    <r>
      <rPr>
        <sz val="11"/>
        <color theme="1"/>
        <rFont val="ＭＳ Ｐゴシック"/>
        <family val="3"/>
        <charset val="128"/>
        <scheme val="minor"/>
      </rPr>
      <t>养生工作室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</si>
  <si>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威士忌; 伏特加酒; 葡萄酒; 烈酒;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白酒; 甜果酒; 朗姆酒</t>
    </r>
  </si>
  <si>
    <t>云髻峰</t>
  </si>
  <si>
    <r>
      <t>广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中泰建材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</si>
  <si>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黄酒; 白酒; 果酒（含酒精）; 汽酒; 葡萄酒;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朗姆酒;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</si>
  <si>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芪</t>
    </r>
    <r>
      <rPr>
        <sz val="11"/>
        <color theme="1"/>
        <rFont val="ＭＳ Ｐゴシック"/>
        <family val="3"/>
        <charset val="134"/>
        <scheme val="minor"/>
      </rPr>
      <t>语</t>
    </r>
  </si>
  <si>
    <r>
      <t>内蒙古</t>
    </r>
    <r>
      <rPr>
        <sz val="11"/>
        <color theme="1"/>
        <rFont val="ＭＳ Ｐゴシック"/>
        <family val="3"/>
        <charset val="129"/>
        <scheme val="minor"/>
      </rPr>
      <t>查</t>
    </r>
    <r>
      <rPr>
        <sz val="11"/>
        <color theme="1"/>
        <rFont val="ＭＳ Ｐゴシック"/>
        <family val="3"/>
        <charset val="128"/>
        <scheme val="minor"/>
      </rPr>
      <t>干哈登网</t>
    </r>
    <r>
      <rPr>
        <sz val="11"/>
        <color theme="1"/>
        <rFont val="ＭＳ Ｐゴシック"/>
        <family val="3"/>
        <charset val="134"/>
        <scheme val="minor"/>
      </rPr>
      <t>络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</si>
  <si>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薄荷酒; 清酒（日本米酒）; 威士忌; 果酒（含酒精）; 苦味酒;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</si>
  <si>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LOVE WISH</t>
  </si>
  <si>
    <r>
      <t>云南酒伴</t>
    </r>
    <r>
      <rPr>
        <sz val="11"/>
        <color theme="1"/>
        <rFont val="ＭＳ Ｐゴシック"/>
        <family val="3"/>
        <charset val="134"/>
        <scheme val="minor"/>
      </rPr>
      <t>进</t>
    </r>
    <r>
      <rPr>
        <sz val="11"/>
        <color theme="1"/>
        <rFont val="ＭＳ Ｐゴシック"/>
        <family val="3"/>
        <charset val="128"/>
        <scheme val="minor"/>
      </rPr>
      <t>出口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</si>
  <si>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红</t>
    </r>
    <r>
      <rPr>
        <sz val="11"/>
        <color theme="1"/>
        <rFont val="ＭＳ Ｐゴシック"/>
        <family val="3"/>
        <charset val="128"/>
        <scheme val="minor"/>
      </rPr>
      <t>葡萄酒; 葡萄酒; 甜果酒;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白葡萄酒; 白干酒（中国白酒）; 白酒; 果酒; 烈酒; 葡萄汽酒</t>
    </r>
  </si>
  <si>
    <r>
      <t>滇</t>
    </r>
    <r>
      <rPr>
        <sz val="11"/>
        <color theme="1"/>
        <rFont val="ＭＳ Ｐゴシック"/>
        <family val="3"/>
        <charset val="134"/>
        <scheme val="minor"/>
      </rPr>
      <t>侨</t>
    </r>
    <r>
      <rPr>
        <sz val="11"/>
        <color theme="1"/>
        <rFont val="ＭＳ Ｐゴシック"/>
        <family val="3"/>
        <charset val="128"/>
        <scheme val="minor"/>
      </rPr>
      <t>雪山</t>
    </r>
    <r>
      <rPr>
        <sz val="11"/>
        <color theme="1"/>
        <rFont val="ＭＳ Ｐゴシック"/>
        <family val="3"/>
        <charset val="134"/>
        <scheme val="minor"/>
      </rPr>
      <t>贡</t>
    </r>
  </si>
  <si>
    <r>
      <t>云南滇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</si>
  <si>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黄酒; 米酒;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</t>
    </r>
  </si>
  <si>
    <r>
      <t>滇源雪山</t>
    </r>
    <r>
      <rPr>
        <sz val="11"/>
        <color theme="1"/>
        <rFont val="ＭＳ Ｐゴシック"/>
        <family val="3"/>
        <charset val="134"/>
        <scheme val="minor"/>
      </rPr>
      <t>贡</t>
    </r>
  </si>
  <si>
    <r>
      <t>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威士忌; 白酒;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</t>
    </r>
  </si>
  <si>
    <t>诺陇</t>
  </si>
  <si>
    <r>
      <t>许艳</t>
    </r>
    <r>
      <rPr>
        <sz val="11"/>
        <color theme="1"/>
        <rFont val="ＭＳ Ｐゴシック"/>
        <family val="3"/>
        <charset val="128"/>
        <scheme val="minor"/>
      </rPr>
      <t>玲</t>
    </r>
  </si>
  <si>
    <r>
      <t>黄酒; 高粱酒;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米酒; 葡萄酒; 伏特加酒;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</si>
  <si>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晗公子</t>
  </si>
  <si>
    <r>
      <t>河南中喜佳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品牌运</t>
    </r>
    <r>
      <rPr>
        <sz val="11"/>
        <color theme="1"/>
        <rFont val="ＭＳ Ｐゴシック"/>
        <family val="3"/>
        <charset val="134"/>
        <scheme val="minor"/>
      </rPr>
      <t>营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</si>
  <si>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 xml:space="preserve">露酒;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黄酒; 威士忌;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伏特加酒; 葡萄酒; 清酒</t>
    </r>
  </si>
  <si>
    <r>
      <t>秦和源金</t>
    </r>
    <r>
      <rPr>
        <sz val="11"/>
        <color theme="1"/>
        <rFont val="ＭＳ Ｐゴシック"/>
        <family val="3"/>
        <charset val="134"/>
        <scheme val="minor"/>
      </rPr>
      <t>凤</t>
    </r>
    <r>
      <rPr>
        <sz val="11"/>
        <color theme="1"/>
        <rFont val="ＭＳ Ｐゴシック"/>
        <family val="3"/>
        <charset val="128"/>
        <scheme val="minor"/>
      </rPr>
      <t>凰</t>
    </r>
  </si>
  <si>
    <r>
      <t>陕</t>
    </r>
    <r>
      <rPr>
        <sz val="11"/>
        <color theme="1"/>
        <rFont val="ＭＳ Ｐゴシック"/>
        <family val="3"/>
        <charset val="128"/>
        <scheme val="minor"/>
      </rPr>
      <t>西秦和源</t>
    </r>
    <r>
      <rPr>
        <sz val="11"/>
        <color theme="1"/>
        <rFont val="ＭＳ Ｐゴシック"/>
        <family val="3"/>
        <charset val="134"/>
        <scheme val="minor"/>
      </rPr>
      <t>农</t>
    </r>
    <r>
      <rPr>
        <sz val="11"/>
        <color theme="1"/>
        <rFont val="ＭＳ Ｐゴシック"/>
        <family val="3"/>
        <charset val="128"/>
        <scheme val="minor"/>
      </rPr>
      <t>副</t>
    </r>
    <r>
      <rPr>
        <sz val="11"/>
        <color theme="1"/>
        <rFont val="ＭＳ Ｐゴシック"/>
        <family val="3"/>
        <charset val="134"/>
        <scheme val="minor"/>
      </rPr>
      <t>产</t>
    </r>
    <r>
      <rPr>
        <sz val="11"/>
        <color theme="1"/>
        <rFont val="ＭＳ Ｐゴシック"/>
        <family val="3"/>
        <charset val="128"/>
        <scheme val="minor"/>
      </rPr>
      <t>品开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</si>
  <si>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酒; 高粱酒;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以蒸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主的开胃酒;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白干酒（中国白酒）;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利口酒;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</t>
    </r>
  </si>
  <si>
    <r>
      <t>郢</t>
    </r>
    <r>
      <rPr>
        <sz val="11"/>
        <color theme="1"/>
        <rFont val="ＭＳ Ｐゴシック"/>
        <family val="3"/>
        <charset val="134"/>
        <scheme val="minor"/>
      </rPr>
      <t>风</t>
    </r>
  </si>
  <si>
    <r>
      <t>湖北科能商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</si>
  <si>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蜂蜜酒; 汽酒; 开胃酒;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黄酒;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葡萄酒</t>
    </r>
  </si>
  <si>
    <t>嘉禾聚瑞</t>
  </si>
  <si>
    <r>
      <t>山西嘉禾聚醋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</si>
  <si>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利口酒;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开胃酒; 葡萄酒</t>
    </r>
  </si>
  <si>
    <r>
      <t>云菲洛</t>
    </r>
    <r>
      <rPr>
        <sz val="11"/>
        <color theme="1"/>
        <rFont val="ＭＳ Ｐゴシック"/>
        <family val="3"/>
        <charset val="134"/>
        <scheme val="minor"/>
      </rPr>
      <t>萨</t>
    </r>
  </si>
  <si>
    <r>
      <t xml:space="preserve">黄酒; 葡萄酒;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青梅酒; 果酒; 白酒;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朝</t>
    </r>
    <r>
      <rPr>
        <sz val="11"/>
        <color theme="1"/>
        <rFont val="ＭＳ Ｐゴシック"/>
        <family val="3"/>
        <charset val="134"/>
        <scheme val="minor"/>
      </rPr>
      <t>鲜</t>
    </r>
    <r>
      <rPr>
        <sz val="11"/>
        <color theme="1"/>
        <rFont val="ＭＳ Ｐゴシック"/>
        <family val="3"/>
        <charset val="128"/>
        <scheme val="minor"/>
      </rPr>
      <t>族米酒</t>
    </r>
  </si>
  <si>
    <t>杏运鑫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</si>
  <si>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州福聚鑫商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</si>
  <si>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青稞酒; 果酒（含酒精）; 葡萄酒; 伏特加酒;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威士忌;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</si>
  <si>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北</t>
    </r>
    <r>
      <rPr>
        <sz val="11"/>
        <color theme="1"/>
        <rFont val="ＭＳ Ｐゴシック"/>
        <family val="3"/>
        <charset val="134"/>
        <scheme val="minor"/>
      </rPr>
      <t>闾顺</t>
    </r>
  </si>
  <si>
    <t>关小玲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</si>
  <si>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苹果酒; 葡萄酒;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食用酒精;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</si>
  <si>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交建金</t>
    </r>
    <r>
      <rPr>
        <sz val="11"/>
        <color theme="1"/>
        <rFont val="ＭＳ Ｐゴシック"/>
        <family val="3"/>
        <charset val="134"/>
        <scheme val="minor"/>
      </rPr>
      <t>桥</t>
    </r>
  </si>
  <si>
    <r>
      <t>白酒;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青稞酒; 食用酒精; 黄酒; 果酒（含酒精）</t>
    </r>
  </si>
  <si>
    <t>唯清</t>
  </si>
  <si>
    <t>岳宗翰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</si>
  <si>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开胃酒</t>
    </r>
  </si>
  <si>
    <t>乾姿</t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</si>
  <si>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威士忌; 食用酒精; 葡萄酒; 白酒; 米酒;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清酒（日本米酒）</t>
    </r>
  </si>
  <si>
    <t>翎宙</t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</si>
  <si>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威士忌; 果酒（含酒精）; 清酒（日本米酒）; 米酒; 白酒;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</si>
  <si>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葡萄酒; 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汽酒</t>
    </r>
  </si>
  <si>
    <r>
      <t>遇</t>
    </r>
    <r>
      <rPr>
        <sz val="11"/>
        <color theme="1"/>
        <rFont val="ＭＳ Ｐゴシック"/>
        <family val="3"/>
        <charset val="134"/>
        <scheme val="minor"/>
      </rPr>
      <t>见</t>
    </r>
    <r>
      <rPr>
        <sz val="11"/>
        <color theme="1"/>
        <rFont val="ＭＳ Ｐゴシック"/>
        <family val="3"/>
        <charset val="128"/>
        <scheme val="minor"/>
      </rPr>
      <t>刘老</t>
    </r>
    <r>
      <rPr>
        <sz val="11"/>
        <color theme="1"/>
        <rFont val="ＭＳ Ｐゴシック"/>
        <family val="3"/>
        <charset val="134"/>
        <scheme val="minor"/>
      </rPr>
      <t>爷</t>
    </r>
  </si>
  <si>
    <r>
      <t>烟台六小神兵企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</si>
  <si>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葡萄酒; 利口酒; 开胃酒;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苹果酒;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白酒</t>
    </r>
  </si>
  <si>
    <r>
      <t>遇</t>
    </r>
    <r>
      <rPr>
        <sz val="11"/>
        <color theme="1"/>
        <rFont val="ＭＳ Ｐゴシック"/>
        <family val="3"/>
        <charset val="134"/>
        <scheme val="minor"/>
      </rPr>
      <t>见</t>
    </r>
    <r>
      <rPr>
        <sz val="11"/>
        <color theme="1"/>
        <rFont val="ＭＳ Ｐゴシック"/>
        <family val="3"/>
        <charset val="128"/>
        <scheme val="minor"/>
      </rPr>
      <t>刘</t>
    </r>
    <r>
      <rPr>
        <sz val="11"/>
        <color theme="1"/>
        <rFont val="ＭＳ Ｐゴシック"/>
        <family val="3"/>
        <charset val="134"/>
        <scheme val="minor"/>
      </rPr>
      <t>爷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</si>
  <si>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开胃酒; 苹果酒;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果酒（含酒精）; 利口酒</t>
    </r>
  </si>
  <si>
    <t>遇楚天</t>
  </si>
  <si>
    <r>
      <t>清酒; 白酒;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威士忌;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</si>
  <si>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诗畅</t>
  </si>
  <si>
    <t>付培培</t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</si>
  <si>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青梅酒;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梅酒; 威士忌; 果酒; 烈酒; 白酒; 食用酒精;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</si>
  <si>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荣年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房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</si>
  <si>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葡萄酒; 威士忌;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苹果酒;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</si>
  <si>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男</t>
    </r>
    <r>
      <rPr>
        <sz val="11"/>
        <color theme="1"/>
        <rFont val="ＭＳ Ｐゴシック"/>
        <family val="3"/>
        <charset val="134"/>
        <scheme val="minor"/>
      </rPr>
      <t>尔</t>
    </r>
    <r>
      <rPr>
        <sz val="11"/>
        <color theme="1"/>
        <rFont val="ＭＳ Ｐゴシック"/>
        <family val="3"/>
        <charset val="128"/>
        <scheme val="minor"/>
      </rPr>
      <t>爵尚雅城堡</t>
    </r>
  </si>
  <si>
    <r>
      <t>深圳格帝</t>
    </r>
    <r>
      <rPr>
        <sz val="11"/>
        <color theme="1"/>
        <rFont val="ＭＳ Ｐゴシック"/>
        <family val="3"/>
        <charset val="134"/>
        <scheme val="minor"/>
      </rPr>
      <t>轩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</si>
  <si>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威士忌; 葡萄酒;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利口酒;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起泡白葡萄酒;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</si>
  <si>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九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青瓷福</t>
    </r>
  </si>
  <si>
    <r>
      <t>山西百年青瓷老酒坊酒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</si>
  <si>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白酒; 烈酒;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黄酒; 葡萄酒;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汽酒</t>
    </r>
  </si>
  <si>
    <t>盈透</t>
  </si>
  <si>
    <t>刘丹丹</t>
  </si>
  <si>
    <r>
      <t>葡萄酒; 米酒; 黄酒; 果酒（含酒精）; 蜂蜜酒; 含酒精的水果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开胃酒;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</si>
  <si>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双信</t>
    </r>
    <r>
      <rPr>
        <sz val="11"/>
        <color theme="1"/>
        <rFont val="ＭＳ Ｐゴシック"/>
        <family val="3"/>
        <charset val="134"/>
        <scheme val="minor"/>
      </rPr>
      <t>沣</t>
    </r>
  </si>
  <si>
    <r>
      <t>合肥恒永晟商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</si>
  <si>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食用酒精; 白酒; 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甜酒; 高粱酒; 果酒; 烈酒</t>
    </r>
  </si>
  <si>
    <r>
      <t>节</t>
    </r>
    <r>
      <rPr>
        <sz val="11"/>
        <color theme="1"/>
        <rFont val="ＭＳ Ｐゴシック"/>
        <family val="3"/>
        <charset val="128"/>
        <scheme val="minor"/>
      </rPr>
      <t>品</t>
    </r>
  </si>
  <si>
    <r>
      <t>绵</t>
    </r>
    <r>
      <rPr>
        <sz val="11"/>
        <color theme="1"/>
        <rFont val="ＭＳ Ｐゴシック"/>
        <family val="3"/>
        <charset val="128"/>
        <scheme val="minor"/>
      </rPr>
      <t>竹市</t>
    </r>
    <r>
      <rPr>
        <sz val="11"/>
        <color theme="1"/>
        <rFont val="ＭＳ Ｐゴシック"/>
        <family val="3"/>
        <charset val="134"/>
        <scheme val="minor"/>
      </rPr>
      <t>兴</t>
    </r>
    <r>
      <rPr>
        <sz val="11"/>
        <color theme="1"/>
        <rFont val="ＭＳ Ｐゴシック"/>
        <family val="3"/>
        <charset val="128"/>
        <scheme val="minor"/>
      </rPr>
      <t>隆</t>
    </r>
    <r>
      <rPr>
        <sz val="11"/>
        <color theme="1"/>
        <rFont val="ＭＳ Ｐゴシック"/>
        <family val="3"/>
        <charset val="134"/>
        <scheme val="minor"/>
      </rPr>
      <t>镇</t>
    </r>
    <r>
      <rPr>
        <sz val="11"/>
        <color theme="1"/>
        <rFont val="ＭＳ Ｐゴシック"/>
        <family val="3"/>
        <charset val="128"/>
        <scheme val="minor"/>
      </rPr>
      <t>永洪副食</t>
    </r>
    <r>
      <rPr>
        <sz val="11"/>
        <color theme="1"/>
        <rFont val="ＭＳ Ｐゴシック"/>
        <family val="3"/>
        <charset val="134"/>
        <scheme val="minor"/>
      </rPr>
      <t>经营</t>
    </r>
    <r>
      <rPr>
        <sz val="11"/>
        <color theme="1"/>
        <rFont val="ＭＳ Ｐゴシック"/>
        <family val="3"/>
        <charset val="128"/>
        <scheme val="minor"/>
      </rPr>
      <t>部</t>
    </r>
  </si>
  <si>
    <r>
      <t>白酒; 餐后酒（利口酒和烈酒）;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蒸煮提取物（利口酒和烈酒）; 烈酒;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食用酒精; 白干酒（中国白酒）</t>
    </r>
  </si>
  <si>
    <r>
      <t>酣</t>
    </r>
    <r>
      <rPr>
        <sz val="11"/>
        <color theme="1"/>
        <rFont val="ＭＳ Ｐゴシック"/>
        <family val="3"/>
        <charset val="134"/>
        <scheme val="minor"/>
      </rPr>
      <t>觞乐</t>
    </r>
  </si>
  <si>
    <r>
      <t>葡萄酒; 开胃酒; 酸酒（低等葡萄酒）; 青稞酒; 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薄荷酒; 白酒; 蜂蜜酒</t>
    </r>
  </si>
  <si>
    <t>烈易</t>
  </si>
  <si>
    <t>于紫晶</t>
  </si>
  <si>
    <r>
      <t xml:space="preserve">米酒; 朗姆酒; 伏特加酒; 葡萄酒; 清酒（日本米酒）; 青稞酒;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威士忌; 黄酒; 白酒</t>
    </r>
  </si>
  <si>
    <t>国伊芊潮</t>
  </si>
  <si>
    <r>
      <t>吴</t>
    </r>
    <r>
      <rPr>
        <sz val="11"/>
        <color theme="1"/>
        <rFont val="ＭＳ Ｐゴシック"/>
        <family val="3"/>
        <charset val="129"/>
        <scheme val="minor"/>
      </rPr>
      <t>洁</t>
    </r>
    <r>
      <rPr>
        <sz val="11"/>
        <color theme="1"/>
        <rFont val="ＭＳ Ｐゴシック"/>
        <family val="3"/>
        <charset val="134"/>
        <scheme val="minor"/>
      </rPr>
      <t>丽</t>
    </r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</si>
  <si>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果酒（含酒精）; 黄酒;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食用酒精; 蜂蜜酒</t>
    </r>
  </si>
  <si>
    <r>
      <t>东</t>
    </r>
    <r>
      <rPr>
        <sz val="11"/>
        <color theme="1"/>
        <rFont val="ＭＳ Ｐゴシック"/>
        <family val="3"/>
        <charset val="128"/>
        <scheme val="minor"/>
      </rPr>
      <t>方</t>
    </r>
    <r>
      <rPr>
        <sz val="11"/>
        <color theme="1"/>
        <rFont val="ＭＳ Ｐゴシック"/>
        <family val="3"/>
        <charset val="134"/>
        <scheme val="minor"/>
      </rPr>
      <t>缘</t>
    </r>
    <r>
      <rPr>
        <sz val="11"/>
        <color theme="1"/>
        <rFont val="ＭＳ Ｐゴシック"/>
        <family val="3"/>
        <charset val="128"/>
        <scheme val="minor"/>
      </rPr>
      <t xml:space="preserve"> ·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柔大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</si>
  <si>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威士忌; 果酒（含酒精）;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葡萄酒; 清酒（日本米酒）</t>
    </r>
  </si>
  <si>
    <t>GKYX</t>
  </si>
  <si>
    <r>
      <t>国品</t>
    </r>
    <r>
      <rPr>
        <sz val="11"/>
        <color theme="1"/>
        <rFont val="ＭＳ Ｐゴシック"/>
        <family val="3"/>
        <charset val="129"/>
        <scheme val="minor"/>
      </rPr>
      <t>优</t>
    </r>
    <r>
      <rPr>
        <sz val="11"/>
        <color theme="1"/>
        <rFont val="ＭＳ Ｐゴシック"/>
        <family val="3"/>
        <charset val="134"/>
        <scheme val="minor"/>
      </rPr>
      <t>选</t>
    </r>
    <r>
      <rPr>
        <sz val="11"/>
        <color theme="1"/>
        <rFont val="ＭＳ Ｐゴシック"/>
        <family val="3"/>
        <charset val="128"/>
        <scheme val="minor"/>
      </rPr>
      <t>（北京）品牌管理有限公司</t>
    </r>
  </si>
  <si>
    <r>
      <t xml:space="preserve">果酒（含酒精）; 黄酒; 葡萄酒;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白酒; 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米酒; 起泡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</t>
    </r>
  </si>
  <si>
    <r>
      <t>铭</t>
    </r>
    <r>
      <rPr>
        <sz val="11"/>
        <color theme="1"/>
        <rFont val="ＭＳ Ｐゴシック"/>
        <family val="3"/>
        <charset val="128"/>
        <scheme val="minor"/>
      </rPr>
      <t>度</t>
    </r>
    <r>
      <rPr>
        <sz val="11"/>
        <color theme="1"/>
        <rFont val="ＭＳ Ｐゴシック"/>
        <family val="3"/>
        <charset val="134"/>
        <scheme val="minor"/>
      </rPr>
      <t>玛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</si>
  <si>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威士忌; 清酒;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</si>
  <si>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r>
      <t>雪</t>
    </r>
    <r>
      <rPr>
        <sz val="11"/>
        <color theme="1"/>
        <rFont val="ＭＳ Ｐゴシック"/>
        <family val="3"/>
        <charset val="134"/>
        <scheme val="minor"/>
      </rPr>
      <t>鲨</t>
    </r>
  </si>
  <si>
    <r>
      <t>尚志市雪</t>
    </r>
    <r>
      <rPr>
        <sz val="11"/>
        <color theme="1"/>
        <rFont val="ＭＳ Ｐゴシック"/>
        <family val="3"/>
        <charset val="134"/>
        <scheme val="minor"/>
      </rPr>
      <t>鲨</t>
    </r>
    <r>
      <rPr>
        <sz val="11"/>
        <color theme="1"/>
        <rFont val="ＭＳ Ｐゴシック"/>
        <family val="3"/>
        <charset val="128"/>
        <scheme val="minor"/>
      </rPr>
      <t>智能科技有限公司</t>
    </r>
  </si>
  <si>
    <r>
      <t>蜂蜜酒;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清酒; 黄酒;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米酒; 果酒</t>
    </r>
  </si>
  <si>
    <r>
      <t>冠</t>
    </r>
    <r>
      <rPr>
        <sz val="11"/>
        <color theme="1"/>
        <rFont val="ＭＳ Ｐゴシック"/>
        <family val="3"/>
        <charset val="134"/>
        <scheme val="minor"/>
      </rPr>
      <t>润</t>
    </r>
    <r>
      <rPr>
        <sz val="11"/>
        <color theme="1"/>
        <rFont val="ＭＳ Ｐゴシック"/>
        <family val="3"/>
        <charset val="128"/>
        <scheme val="minor"/>
      </rPr>
      <t>元</t>
    </r>
  </si>
  <si>
    <t>日照小犇信息科技有限公司</t>
  </si>
  <si>
    <r>
      <t>开胃酒;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酸酒（低等葡萄酒）; 蜂蜜酒;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</si>
  <si>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威楚</t>
    </r>
    <r>
      <rPr>
        <sz val="11"/>
        <color theme="1"/>
        <rFont val="ＭＳ Ｐゴシック"/>
        <family val="3"/>
        <charset val="134"/>
        <scheme val="minor"/>
      </rPr>
      <t>蓝</t>
    </r>
    <r>
      <rPr>
        <sz val="11"/>
        <color theme="1"/>
        <rFont val="ＭＳ Ｐゴシック"/>
        <family val="3"/>
        <charset val="128"/>
        <scheme val="minor"/>
      </rPr>
      <t>喜</t>
    </r>
    <r>
      <rPr>
        <sz val="11"/>
        <color theme="1"/>
        <rFont val="ＭＳ Ｐゴシック"/>
        <family val="3"/>
        <charset val="134"/>
        <scheme val="minor"/>
      </rPr>
      <t>鹊窝</t>
    </r>
  </si>
  <si>
    <r>
      <t>牟定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喜</t>
    </r>
    <r>
      <rPr>
        <sz val="11"/>
        <color theme="1"/>
        <rFont val="ＭＳ Ｐゴシック"/>
        <family val="3"/>
        <charset val="134"/>
        <scheme val="minor"/>
      </rPr>
      <t>鹊窝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</si>
  <si>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 xml:space="preserve">梅酒; 白酒; 五加皮酒（中国混合烈酒）;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 xml:space="preserve">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青稞酒</t>
    </r>
  </si>
  <si>
    <t>橘州年味</t>
  </si>
  <si>
    <r>
      <t>广州市橘青</t>
    </r>
    <r>
      <rPr>
        <sz val="11"/>
        <color theme="1"/>
        <rFont val="ＭＳ Ｐゴシック"/>
        <family val="3"/>
        <charset val="134"/>
        <scheme val="minor"/>
      </rPr>
      <t>汇</t>
    </r>
    <r>
      <rPr>
        <sz val="11"/>
        <color theme="1"/>
        <rFont val="ＭＳ Ｐゴシック"/>
        <family val="3"/>
        <charset val="128"/>
        <scheme val="minor"/>
      </rPr>
      <t>投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</si>
  <si>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蜂蜜酒;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餐后酒（利口酒和烈酒）;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青稞酒; 食用酒精; 清酒（日本米酒）; 葡萄酒</t>
    </r>
  </si>
  <si>
    <r>
      <t>紫</t>
    </r>
    <r>
      <rPr>
        <sz val="11"/>
        <color theme="1"/>
        <rFont val="ＭＳ Ｐゴシック"/>
        <family val="3"/>
        <charset val="134"/>
        <scheme val="minor"/>
      </rPr>
      <t>玺兰诺</t>
    </r>
  </si>
  <si>
    <r>
      <t>紫</t>
    </r>
    <r>
      <rPr>
        <sz val="11"/>
        <color theme="1"/>
        <rFont val="ＭＳ Ｐゴシック"/>
        <family val="3"/>
        <charset val="134"/>
        <scheme val="minor"/>
      </rPr>
      <t>玺兰诺</t>
    </r>
    <r>
      <rPr>
        <sz val="11"/>
        <color theme="1"/>
        <rFont val="ＭＳ Ｐゴシック"/>
        <family val="3"/>
        <charset val="128"/>
        <scheme val="minor"/>
      </rPr>
      <t>（宁夏）酒庄有限公司</t>
    </r>
  </si>
  <si>
    <r>
      <t>酸酒（低等葡萄酒）;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伏特加酒; 果酒（含酒精）</t>
    </r>
  </si>
  <si>
    <t>雪照春芳</t>
  </si>
  <si>
    <r>
      <t>孟</t>
    </r>
    <r>
      <rPr>
        <sz val="11"/>
        <color theme="1"/>
        <rFont val="ＭＳ Ｐゴシック"/>
        <family val="3"/>
        <charset val="134"/>
        <scheme val="minor"/>
      </rPr>
      <t>庆</t>
    </r>
    <r>
      <rPr>
        <sz val="11"/>
        <color theme="1"/>
        <rFont val="ＭＳ Ｐゴシック"/>
        <family val="3"/>
        <charset val="128"/>
        <scheme val="minor"/>
      </rPr>
      <t>彬</t>
    </r>
  </si>
  <si>
    <r>
      <t>白酒; 果酒（含酒精）; 黄酒;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酒; 葡萄酒; 烈酒;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食用酒精; 米酒</t>
    </r>
  </si>
  <si>
    <r>
      <t>耀</t>
    </r>
    <r>
      <rPr>
        <sz val="11"/>
        <color theme="1"/>
        <rFont val="ＭＳ Ｐゴシック"/>
        <family val="3"/>
        <charset val="134"/>
        <scheme val="minor"/>
      </rPr>
      <t>锦</t>
    </r>
    <r>
      <rPr>
        <sz val="11"/>
        <color theme="1"/>
        <rFont val="ＭＳ Ｐゴシック"/>
        <family val="3"/>
        <charset val="128"/>
        <scheme val="minor"/>
      </rPr>
      <t>春</t>
    </r>
  </si>
  <si>
    <t>程姣琦</t>
  </si>
  <si>
    <r>
      <t xml:space="preserve">青稞酒; 高粱酒;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白酒;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米酒; 烈酒</t>
    </r>
  </si>
  <si>
    <t>朝素</t>
  </si>
  <si>
    <r>
      <t>李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亮</t>
    </r>
  </si>
  <si>
    <r>
      <t>白酒; 高粱酒; 米酒; 黄酒; 伏特加酒; 果酒（含酒精）; 清酒;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</si>
  <si>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御</t>
    </r>
    <r>
      <rPr>
        <sz val="11"/>
        <color theme="1"/>
        <rFont val="ＭＳ Ｐゴシック"/>
        <family val="3"/>
        <charset val="134"/>
        <scheme val="minor"/>
      </rPr>
      <t>节</t>
    </r>
  </si>
  <si>
    <r>
      <t>江</t>
    </r>
    <r>
      <rPr>
        <sz val="11"/>
        <color theme="1"/>
        <rFont val="ＭＳ Ｐゴシック"/>
        <family val="3"/>
        <charset val="134"/>
        <scheme val="minor"/>
      </rPr>
      <t>晓爱</t>
    </r>
  </si>
  <si>
    <r>
      <t>樱</t>
    </r>
    <r>
      <rPr>
        <sz val="11"/>
        <color theme="1"/>
        <rFont val="ＭＳ Ｐゴシック"/>
        <family val="3"/>
        <charset val="128"/>
        <scheme val="minor"/>
      </rPr>
      <t>桃酒; 米酒; 白干酒（中国白酒）; 起泡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甜果酒;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青稞酒</t>
    </r>
  </si>
  <si>
    <t>御通臻和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</si>
  <si>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州九禾投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</si>
  <si>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黄酒; 开胃酒; 果酒; 利口酒;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薄荷酒;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</si>
  <si>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玺峥</t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</si>
  <si>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葡萄酒; 白酒; 食用酒精;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清酒（日本米酒）;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</t>
    </r>
  </si>
  <si>
    <t>玺鲨</t>
  </si>
  <si>
    <r>
      <t>葡萄酒;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威士忌;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食用酒精; 果酒（含酒精）</t>
    </r>
  </si>
  <si>
    <r>
      <t>涟</t>
    </r>
    <r>
      <rPr>
        <sz val="11"/>
        <color theme="1"/>
        <rFont val="ＭＳ Ｐゴシック"/>
        <family val="3"/>
        <charset val="128"/>
        <scheme val="minor"/>
      </rPr>
      <t>壤</t>
    </r>
  </si>
  <si>
    <r>
      <t>江西省富</t>
    </r>
    <r>
      <rPr>
        <sz val="11"/>
        <color theme="1"/>
        <rFont val="ＭＳ Ｐゴシック"/>
        <family val="3"/>
        <charset val="134"/>
        <scheme val="minor"/>
      </rPr>
      <t>凯农业发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</si>
  <si>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米酒; 果酒（含酒精）;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</si>
  <si>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君蓉豪</t>
  </si>
  <si>
    <r>
      <t>丛</t>
    </r>
    <r>
      <rPr>
        <sz val="11"/>
        <color theme="1"/>
        <rFont val="ＭＳ Ｐゴシック"/>
        <family val="3"/>
        <charset val="128"/>
        <scheme val="minor"/>
      </rPr>
      <t>章君</t>
    </r>
  </si>
  <si>
    <r>
      <t>蜂蜜酒; 含酒精的水果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开胃酒; 米酒; 黄酒; 白酒;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</si>
  <si>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荣年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坊</t>
    </r>
  </si>
  <si>
    <r>
      <t>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威士忌;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苹果酒;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</si>
  <si>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喜</t>
    </r>
    <r>
      <rPr>
        <sz val="11"/>
        <color theme="1"/>
        <rFont val="ＭＳ Ｐゴシック"/>
        <family val="3"/>
        <charset val="134"/>
        <scheme val="minor"/>
      </rPr>
      <t>鹊窝</t>
    </r>
    <r>
      <rPr>
        <sz val="11"/>
        <color theme="1"/>
        <rFont val="ＭＳ Ｐゴシック"/>
        <family val="3"/>
        <charset val="128"/>
        <scheme val="minor"/>
      </rPr>
      <t>灰喜</t>
    </r>
    <r>
      <rPr>
        <sz val="11"/>
        <color theme="1"/>
        <rFont val="ＭＳ Ｐゴシック"/>
        <family val="3"/>
        <charset val="134"/>
        <scheme val="minor"/>
      </rPr>
      <t>鹊</t>
    </r>
  </si>
  <si>
    <r>
      <t>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 xml:space="preserve">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 xml:space="preserve">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米酒; 青稞酒; 五加皮酒（中国混合烈酒）</t>
    </r>
  </si>
  <si>
    <t>潮起昌</t>
  </si>
  <si>
    <t>天斯科技有限公司</t>
  </si>
  <si>
    <r>
      <t>葡萄酒; 米酒;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清酒（日本米酒）;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食用酒精</t>
    </r>
  </si>
  <si>
    <r>
      <t>荣年</t>
    </r>
    <r>
      <rPr>
        <sz val="11"/>
        <color theme="1"/>
        <rFont val="ＭＳ Ｐゴシック"/>
        <family val="3"/>
        <charset val="134"/>
        <scheme val="minor"/>
      </rPr>
      <t>贡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</si>
  <si>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苹果酒;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</si>
  <si>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天</t>
    </r>
    <r>
      <rPr>
        <sz val="11"/>
        <color theme="1"/>
        <rFont val="ＭＳ Ｐゴシック"/>
        <family val="3"/>
        <charset val="134"/>
        <scheme val="minor"/>
      </rPr>
      <t>节</t>
    </r>
  </si>
  <si>
    <r>
      <t>起泡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甜果酒; 米酒; 青稞酒;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白干酒（中国白酒）;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白酒</t>
    </r>
  </si>
  <si>
    <t>洪城里</t>
  </si>
  <si>
    <r>
      <t>南昌市</t>
    </r>
    <r>
      <rPr>
        <sz val="11"/>
        <color theme="1"/>
        <rFont val="ＭＳ Ｐゴシック"/>
        <family val="3"/>
        <charset val="134"/>
        <scheme val="minor"/>
      </rPr>
      <t>蓝</t>
    </r>
    <r>
      <rPr>
        <sz val="11"/>
        <color theme="1"/>
        <rFont val="ＭＳ Ｐゴシック"/>
        <family val="3"/>
        <charset val="128"/>
        <scheme val="minor"/>
      </rPr>
      <t>色冰点餐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</si>
  <si>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利口酒;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果酒（含酒精）; 黄酒; 餐后酒（利口酒和烈酒）; 葡萄酒; 食用酒精</t>
    </r>
  </si>
  <si>
    <r>
      <t>图</t>
    </r>
    <r>
      <rPr>
        <sz val="11"/>
        <color theme="1"/>
        <rFont val="ＭＳ Ｐゴシック"/>
        <family val="3"/>
        <charset val="128"/>
        <scheme val="minor"/>
      </rPr>
      <t>裕葡能</t>
    </r>
  </si>
  <si>
    <r>
      <t xml:space="preserve">果酒; 汽酒; 白酒; 葡萄酒;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黄酒; 白葡萄酒; 青稞酒; 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</si>
  <si>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金达泓福 酒</t>
  </si>
  <si>
    <r>
      <t>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省金达泓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包装有限公司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</si>
  <si>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黄酒; 蜂蜜酒;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果酒;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</t>
    </r>
  </si>
  <si>
    <t>华壶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</si>
  <si>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蝮蛇酒; 刺五加酒; 佐餐酒; 五加皮酒（中国混合烈酒）; 蜂蜜酒; 利口酒;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甜酒</t>
    </r>
  </si>
  <si>
    <r>
      <t>森</t>
    </r>
    <r>
      <rPr>
        <sz val="11"/>
        <color theme="1"/>
        <rFont val="ＭＳ Ｐゴシック"/>
        <family val="3"/>
        <charset val="134"/>
        <scheme val="minor"/>
      </rPr>
      <t>栀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</si>
  <si>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威士忌; 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清酒（日本米酒）</t>
    </r>
  </si>
  <si>
    <t>秒 秒淼淼 MMMIAO</t>
  </si>
  <si>
    <r>
      <t>海</t>
    </r>
    <r>
      <rPr>
        <sz val="11"/>
        <color theme="1"/>
        <rFont val="ＭＳ Ｐゴシック"/>
        <family val="3"/>
        <charset val="134"/>
        <scheme val="minor"/>
      </rPr>
      <t>岛</t>
    </r>
    <r>
      <rPr>
        <sz val="11"/>
        <color theme="1"/>
        <rFont val="ＭＳ Ｐゴシック"/>
        <family val="3"/>
        <charset val="128"/>
        <scheme val="minor"/>
      </rPr>
      <t>壹号（海南）文旅科技有限公司</t>
    </r>
  </si>
  <si>
    <r>
      <t>白葡萄酒; 清酒; 威士忌; 果酒;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酒（烈酒）; </t>
    </r>
    <r>
      <rPr>
        <sz val="11"/>
        <color theme="1"/>
        <rFont val="ＭＳ Ｐゴシック"/>
        <family val="3"/>
        <charset val="134"/>
        <scheme val="minor"/>
      </rPr>
      <t>预调</t>
    </r>
    <r>
      <rPr>
        <sz val="11"/>
        <color theme="1"/>
        <rFont val="ＭＳ Ｐゴシック"/>
        <family val="3"/>
        <charset val="128"/>
        <scheme val="minor"/>
      </rPr>
      <t>甜酒;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蝮蛇酒;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甜酒; 米酒; 白酒; 高粱酒;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烈酒</t>
    </r>
  </si>
  <si>
    <r>
      <t xml:space="preserve">白酒;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米酒; 清酒（日本米酒）;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黄酒; 利口酒; 葡萄酒</t>
    </r>
  </si>
  <si>
    <t>蜀中之蜀</t>
  </si>
  <si>
    <r>
      <t>四川忠</t>
    </r>
    <r>
      <rPr>
        <sz val="11"/>
        <color theme="1"/>
        <rFont val="ＭＳ Ｐゴシック"/>
        <family val="3"/>
        <charset val="134"/>
        <scheme val="minor"/>
      </rPr>
      <t>视</t>
    </r>
    <r>
      <rPr>
        <sz val="11"/>
        <color theme="1"/>
        <rFont val="ＭＳ Ｐゴシック"/>
        <family val="3"/>
        <charset val="128"/>
        <scheme val="minor"/>
      </rPr>
      <t>奥美文化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播有限公司</t>
    </r>
  </si>
  <si>
    <r>
      <t>烈酒; 米酒;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清酒（日本米酒）;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葡萄酒</t>
    </r>
  </si>
  <si>
    <t>瑜生元</t>
  </si>
  <si>
    <r>
      <t>江</t>
    </r>
    <r>
      <rPr>
        <sz val="11"/>
        <color theme="1"/>
        <rFont val="ＭＳ Ｐゴシック"/>
        <family val="3"/>
        <charset val="134"/>
        <scheme val="minor"/>
      </rPr>
      <t>苏东鹏</t>
    </r>
    <r>
      <rPr>
        <sz val="11"/>
        <color theme="1"/>
        <rFont val="ＭＳ Ｐゴシック"/>
        <family val="3"/>
        <charset val="128"/>
        <scheme val="minor"/>
      </rPr>
      <t>健康科技有限公司</t>
    </r>
  </si>
  <si>
    <r>
      <t>伏特加酒; 白酒; 薄荷酒; 果酒（含酒精）;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清酒（日本米酒）; 葡萄酒</t>
    </r>
  </si>
  <si>
    <t>隆犀</t>
  </si>
  <si>
    <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白酒; 食用酒精; 果酒（含酒精）; 清酒（日本米酒）;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威士忌</t>
    </r>
  </si>
  <si>
    <r>
      <t>迪</t>
    </r>
    <r>
      <rPr>
        <sz val="11"/>
        <color theme="1"/>
        <rFont val="ＭＳ Ｐゴシック"/>
        <family val="3"/>
        <charset val="134"/>
        <scheme val="minor"/>
      </rPr>
      <t>颂</t>
    </r>
  </si>
  <si>
    <r>
      <t>贾贵</t>
    </r>
    <r>
      <rPr>
        <sz val="11"/>
        <color theme="1"/>
        <rFont val="ＭＳ Ｐゴシック"/>
        <family val="3"/>
        <charset val="128"/>
        <scheme val="minor"/>
      </rPr>
      <t>芳</t>
    </r>
  </si>
  <si>
    <r>
      <t>黄酒;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伏特加酒;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葡萄酒; 高粱酒</t>
    </r>
  </si>
  <si>
    <r>
      <t>绿</t>
    </r>
    <r>
      <rPr>
        <sz val="11"/>
        <color theme="1"/>
        <rFont val="ＭＳ Ｐゴシック"/>
        <family val="3"/>
        <charset val="128"/>
        <scheme val="minor"/>
      </rPr>
      <t>蛟</t>
    </r>
    <r>
      <rPr>
        <sz val="11"/>
        <color theme="1"/>
        <rFont val="ＭＳ Ｐゴシック"/>
        <family val="3"/>
        <charset val="134"/>
        <scheme val="minor"/>
      </rPr>
      <t>龙</t>
    </r>
  </si>
  <si>
    <r>
      <t>杭州意之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</si>
  <si>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开胃酒; 米酒;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威士忌;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</t>
    </r>
  </si>
  <si>
    <t>圳里美酒</t>
  </si>
  <si>
    <r>
      <t>深圳酒圳酒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</si>
  <si>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葡萄酒; 黄酒; 薄荷酒;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开胃酒; 伏特加酒</t>
    </r>
  </si>
  <si>
    <t>住粉</t>
  </si>
  <si>
    <r>
      <t>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市新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住酒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</si>
  <si>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米酒; 白酒;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甜酒; 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</si>
  <si>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FUXISHAW</t>
  </si>
  <si>
    <r>
      <t>钟</t>
    </r>
    <r>
      <rPr>
        <sz val="11"/>
        <color theme="1"/>
        <rFont val="ＭＳ Ｐゴシック"/>
        <family val="3"/>
        <charset val="128"/>
        <scheme val="minor"/>
      </rPr>
      <t>少鑫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</si>
  <si>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米酒; 白酒; 清酒;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</t>
    </r>
  </si>
  <si>
    <t>荣年一号</t>
  </si>
  <si>
    <r>
      <t>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威士忌; 葡萄酒; 苹果酒;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</si>
  <si>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武</t>
    </r>
    <r>
      <rPr>
        <sz val="11"/>
        <color theme="1"/>
        <rFont val="ＭＳ Ｐゴシック"/>
        <family val="3"/>
        <charset val="134"/>
        <scheme val="minor"/>
      </rPr>
      <t>飒</t>
    </r>
  </si>
  <si>
    <r>
      <t xml:space="preserve">烈酒;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清酒（日本米酒）; 米酒;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</t>
    </r>
  </si>
  <si>
    <t>千榜九五至尊</t>
  </si>
  <si>
    <r>
      <t xml:space="preserve">清酒（日本米酒）; 烈酒;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开胃酒;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威士忌; 黄酒</t>
    </r>
  </si>
  <si>
    <t>溪笑</t>
  </si>
  <si>
    <r>
      <t>黄酒;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烈酒; 果酒</t>
    </r>
  </si>
  <si>
    <r>
      <t>为</t>
    </r>
    <r>
      <rPr>
        <sz val="11"/>
        <color theme="1"/>
        <rFont val="ＭＳ Ｐゴシック"/>
        <family val="3"/>
        <charset val="128"/>
        <scheme val="minor"/>
      </rPr>
      <t>君美</t>
    </r>
  </si>
  <si>
    <r>
      <t>长</t>
    </r>
    <r>
      <rPr>
        <sz val="11"/>
        <color theme="1"/>
        <rFont val="ＭＳ Ｐゴシック"/>
        <family val="3"/>
        <charset val="128"/>
        <scheme val="minor"/>
      </rPr>
      <t>沙造</t>
    </r>
    <r>
      <rPr>
        <sz val="11"/>
        <color theme="1"/>
        <rFont val="ＭＳ Ｐゴシック"/>
        <family val="3"/>
        <charset val="134"/>
        <scheme val="minor"/>
      </rPr>
      <t>谊进</t>
    </r>
    <r>
      <rPr>
        <sz val="11"/>
        <color theme="1"/>
        <rFont val="ＭＳ Ｐゴシック"/>
        <family val="3"/>
        <charset val="128"/>
        <scheme val="minor"/>
      </rPr>
      <t>出口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</si>
  <si>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 xml:space="preserve">米酒;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汽酒;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果酒（含酒精）</t>
    </r>
  </si>
  <si>
    <t>桃励</t>
  </si>
  <si>
    <r>
      <t xml:space="preserve">威士忌; 果酒（含酒精）; 白酒; 食用酒精;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</si>
  <si>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杜加</t>
    </r>
    <r>
      <rPr>
        <sz val="11"/>
        <color theme="1"/>
        <rFont val="ＭＳ Ｐゴシック"/>
        <family val="3"/>
        <charset val="134"/>
        <scheme val="minor"/>
      </rPr>
      <t>满</t>
    </r>
  </si>
  <si>
    <r>
      <t>西安</t>
    </r>
    <r>
      <rPr>
        <sz val="11"/>
        <color theme="1"/>
        <rFont val="ＭＳ Ｐゴシック"/>
        <family val="3"/>
        <charset val="134"/>
        <scheme val="minor"/>
      </rPr>
      <t>飞</t>
    </r>
    <r>
      <rPr>
        <sz val="11"/>
        <color theme="1"/>
        <rFont val="ＭＳ Ｐゴシック"/>
        <family val="3"/>
        <charset val="128"/>
        <scheme val="minor"/>
      </rPr>
      <t>普利斯健康</t>
    </r>
    <r>
      <rPr>
        <sz val="11"/>
        <color theme="1"/>
        <rFont val="ＭＳ Ｐゴシック"/>
        <family val="3"/>
        <charset val="134"/>
        <scheme val="minor"/>
      </rPr>
      <t>产业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</si>
  <si>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甘蔗制烈酒;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米酒; 果酒（含酒精）</t>
    </r>
  </si>
  <si>
    <r>
      <t>诸</t>
    </r>
    <r>
      <rPr>
        <sz val="11"/>
        <color theme="1"/>
        <rFont val="ＭＳ Ｐゴシック"/>
        <family val="3"/>
        <charset val="128"/>
        <scheme val="minor"/>
      </rPr>
      <t>葛神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</si>
  <si>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露酒; 果酒（含酒精）; 米酒; 黄酒;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</t>
    </r>
  </si>
  <si>
    <r>
      <t>骏</t>
    </r>
    <r>
      <rPr>
        <sz val="11"/>
        <color theme="1"/>
        <rFont val="ＭＳ Ｐゴシック"/>
        <family val="3"/>
        <charset val="128"/>
        <scheme val="minor"/>
      </rPr>
      <t>兔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</si>
  <si>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34"/>
        <scheme val="minor"/>
      </rPr>
      <t>骏</t>
    </r>
    <r>
      <rPr>
        <sz val="11"/>
        <color theme="1"/>
        <rFont val="ＭＳ Ｐゴシック"/>
        <family val="3"/>
        <charset val="128"/>
        <scheme val="minor"/>
      </rPr>
      <t>途科技有限公司</t>
    </r>
  </si>
  <si>
    <r>
      <t xml:space="preserve">甜果酒; 食用酒精; 甜酒; 白干酒（中国白酒）;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含酒精的水果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</t>
    </r>
  </si>
  <si>
    <t>宝鉱山 TAKARAKOZAN</t>
  </si>
  <si>
    <t>香港泉森源有限公司</t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</si>
  <si>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威士忌;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葡萄酒; 汽酒;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</si>
  <si>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t>松鼠甄养</t>
  </si>
  <si>
    <t>郭阳阳</t>
  </si>
  <si>
    <r>
      <t>白酒; 酸酒（低等葡萄酒）;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黄酒; 开胃酒; 利口酒; 蒸煮提取物（利口酒和烈酒）;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</t>
    </r>
  </si>
  <si>
    <t>宙犀</t>
  </si>
  <si>
    <r>
      <t>威士忌; 食用酒精;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清酒（日本米酒）;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葡萄酒; 米酒</t>
    </r>
  </si>
  <si>
    <r>
      <t>滨</t>
    </r>
    <r>
      <rPr>
        <sz val="11"/>
        <color theme="1"/>
        <rFont val="ＭＳ Ｐゴシック"/>
        <family val="3"/>
        <charset val="128"/>
        <scheme val="minor"/>
      </rPr>
      <t>玻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</si>
  <si>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</si>
  <si>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蓬</t>
    </r>
  </si>
  <si>
    <r>
      <t>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烈酒; 食用酒精; 清酒;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高粱酒; 黄酒; 白酒; 葡萄酒</t>
    </r>
  </si>
  <si>
    <t>相来</t>
  </si>
  <si>
    <r>
      <t>陈</t>
    </r>
    <r>
      <rPr>
        <sz val="11"/>
        <color theme="1"/>
        <rFont val="ＭＳ Ｐゴシック"/>
        <family val="3"/>
        <charset val="128"/>
        <scheme val="minor"/>
      </rPr>
      <t>相来</t>
    </r>
  </si>
  <si>
    <r>
      <t>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白酒;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</si>
  <si>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海潮启</t>
  </si>
  <si>
    <r>
      <t>天津宏深科技有限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</si>
  <si>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 xml:space="preserve">米酒; 白酒; 果酒（含酒精）; 葡萄酒; 含酒精的气泡水;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白干酒（中国白酒）;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清酒（日本米酒）</t>
    </r>
  </si>
  <si>
    <r>
      <t>时</t>
    </r>
    <r>
      <rPr>
        <sz val="11"/>
        <color theme="1"/>
        <rFont val="ＭＳ Ｐゴシック"/>
        <family val="3"/>
        <charset val="128"/>
        <scheme val="minor"/>
      </rPr>
      <t>位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造</t>
    </r>
  </si>
  <si>
    <t>杭州松昌建筑加固防腐工程有限公司</t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</si>
  <si>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果酒（含酒精）; 米酒;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食用酒精;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汽酒; 威士忌; 白酒</t>
    </r>
  </si>
  <si>
    <t>MWFJY</t>
  </si>
  <si>
    <r>
      <t>河南金世源酒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</si>
  <si>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伏特加酒;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朗姆酒; 米酒;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白酒</t>
    </r>
  </si>
  <si>
    <t>征关月</t>
  </si>
  <si>
    <t>王文平</t>
  </si>
  <si>
    <r>
      <t>白酒; 米酒; 威士忌;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</t>
    </r>
  </si>
  <si>
    <t>荣年珍藏</t>
  </si>
  <si>
    <r>
      <t>苹果酒;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威士忌;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</si>
  <si>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每九</t>
  </si>
  <si>
    <r>
      <t>北京</t>
    </r>
    <r>
      <rPr>
        <sz val="11"/>
        <color theme="1"/>
        <rFont val="ＭＳ Ｐゴシック"/>
        <family val="3"/>
        <charset val="134"/>
        <scheme val="minor"/>
      </rPr>
      <t>远</t>
    </r>
    <r>
      <rPr>
        <sz val="11"/>
        <color theme="1"/>
        <rFont val="ＭＳ Ｐゴシック"/>
        <family val="3"/>
        <charset val="128"/>
        <scheme val="minor"/>
      </rPr>
      <t>集商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</si>
  <si>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食用酒精;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餐后酒（利口酒和烈酒）;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</si>
  <si>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老淮</t>
  </si>
  <si>
    <r>
      <t xml:space="preserve">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开胃酒; 利口酒; 黄酒; 米酒; 白酒; 葡萄酒; 蜂蜜酒</t>
    </r>
  </si>
  <si>
    <r>
      <t>银凤</t>
    </r>
    <r>
      <rPr>
        <sz val="11"/>
        <color theme="1"/>
        <rFont val="ＭＳ Ｐゴシック"/>
        <family val="3"/>
        <charset val="128"/>
        <scheme val="minor"/>
      </rPr>
      <t>川凰城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</si>
  <si>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利口酒; 葡萄酒; 食用酒精; 白酒; 餐后酒（利口酒和烈酒）;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</si>
  <si>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麟主</t>
  </si>
  <si>
    <r>
      <t>食用酒精;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威士忌; 清酒（日本米酒）</t>
    </r>
  </si>
  <si>
    <r>
      <t>有</t>
    </r>
    <r>
      <rPr>
        <sz val="11"/>
        <color theme="1"/>
        <rFont val="ＭＳ Ｐゴシック"/>
        <family val="3"/>
        <charset val="134"/>
        <scheme val="minor"/>
      </rPr>
      <t>鲲</t>
    </r>
  </si>
  <si>
    <r>
      <t>北京芬欧建</t>
    </r>
    <r>
      <rPr>
        <sz val="11"/>
        <color theme="1"/>
        <rFont val="ＭＳ Ｐゴシック"/>
        <family val="3"/>
        <charset val="134"/>
        <scheme val="minor"/>
      </rPr>
      <t>设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</si>
  <si>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清酒; 起泡白葡萄酒; 白酒; 白葡萄酒;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起泡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</si>
  <si>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东</t>
    </r>
    <r>
      <rPr>
        <sz val="11"/>
        <color theme="1"/>
        <rFont val="ＭＳ Ｐゴシック"/>
        <family val="3"/>
        <charset val="128"/>
        <scheme val="minor"/>
      </rPr>
      <t>方</t>
    </r>
    <r>
      <rPr>
        <sz val="11"/>
        <color theme="1"/>
        <rFont val="ＭＳ Ｐゴシック"/>
        <family val="3"/>
        <charset val="134"/>
        <scheme val="minor"/>
      </rPr>
      <t>缘</t>
    </r>
    <r>
      <rPr>
        <sz val="11"/>
        <color theme="1"/>
        <rFont val="ＭＳ Ｐゴシック"/>
        <family val="3"/>
        <charset val="128"/>
        <scheme val="minor"/>
      </rPr>
      <t>·</t>
    </r>
    <r>
      <rPr>
        <sz val="11"/>
        <color theme="1"/>
        <rFont val="ＭＳ Ｐゴシック"/>
        <family val="3"/>
        <charset val="134"/>
        <scheme val="minor"/>
      </rPr>
      <t>银</t>
    </r>
    <r>
      <rPr>
        <sz val="11"/>
        <color theme="1"/>
        <rFont val="ＭＳ Ｐゴシック"/>
        <family val="3"/>
        <charset val="128"/>
        <scheme val="minor"/>
      </rPr>
      <t>柔大</t>
    </r>
  </si>
  <si>
    <r>
      <t>白酒;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食用酒精; 果酒（含酒精）; 葡萄酒;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</si>
  <si>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安和</t>
    </r>
    <r>
      <rPr>
        <sz val="11"/>
        <color theme="1"/>
        <rFont val="ＭＳ Ｐゴシック"/>
        <family val="3"/>
        <charset val="134"/>
        <scheme val="minor"/>
      </rPr>
      <t>颜</t>
    </r>
  </si>
  <si>
    <r>
      <t>上海</t>
    </r>
    <r>
      <rPr>
        <sz val="11"/>
        <color theme="1"/>
        <rFont val="ＭＳ Ｐゴシック"/>
        <family val="3"/>
        <charset val="134"/>
        <scheme val="minor"/>
      </rPr>
      <t>颜</t>
    </r>
    <r>
      <rPr>
        <sz val="11"/>
        <color theme="1"/>
        <rFont val="ＭＳ Ｐゴシック"/>
        <family val="3"/>
        <charset val="128"/>
        <scheme val="minor"/>
      </rPr>
      <t>肌生物科技有限公司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</si>
  <si>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食用酒精; 葡萄酒; 黄酒; 果酒（含酒精）</t>
    </r>
  </si>
  <si>
    <r>
      <t>威楚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喜</t>
    </r>
    <r>
      <rPr>
        <sz val="11"/>
        <color theme="1"/>
        <rFont val="ＭＳ Ｐゴシック"/>
        <family val="3"/>
        <charset val="134"/>
        <scheme val="minor"/>
      </rPr>
      <t>鹊窝</t>
    </r>
  </si>
  <si>
    <r>
      <t xml:space="preserve">青稞酒;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白酒;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>酒; 五加皮酒（中国混合烈酒）;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</t>
    </r>
  </si>
  <si>
    <r>
      <t>东</t>
    </r>
    <r>
      <rPr>
        <sz val="11"/>
        <color theme="1"/>
        <rFont val="ＭＳ Ｐゴシック"/>
        <family val="3"/>
        <charset val="128"/>
        <scheme val="minor"/>
      </rPr>
      <t>方</t>
    </r>
    <r>
      <rPr>
        <sz val="11"/>
        <color theme="1"/>
        <rFont val="ＭＳ Ｐゴシック"/>
        <family val="3"/>
        <charset val="134"/>
        <scheme val="minor"/>
      </rPr>
      <t>缘</t>
    </r>
    <r>
      <rPr>
        <sz val="11"/>
        <color theme="1"/>
        <rFont val="ＭＳ Ｐゴシック"/>
        <family val="3"/>
        <charset val="128"/>
        <scheme val="minor"/>
      </rPr>
      <t>·金柔大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</si>
  <si>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米酒; 食用酒精; 白酒; 果酒（含酒精）; 威士忌</t>
    </r>
  </si>
  <si>
    <r>
      <t>莲</t>
    </r>
    <r>
      <rPr>
        <sz val="11"/>
        <color theme="1"/>
        <rFont val="ＭＳ Ｐゴシック"/>
        <family val="3"/>
        <charset val="128"/>
        <scheme val="minor"/>
      </rPr>
      <t>花霄</t>
    </r>
  </si>
  <si>
    <r>
      <t>莲</t>
    </r>
    <r>
      <rPr>
        <sz val="11"/>
        <color theme="1"/>
        <rFont val="ＭＳ Ｐゴシック"/>
        <family val="3"/>
        <charset val="128"/>
        <scheme val="minor"/>
      </rPr>
      <t>花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臻源</t>
    </r>
    <r>
      <rPr>
        <sz val="11"/>
        <color theme="1"/>
        <rFont val="ＭＳ Ｐゴシック"/>
        <family val="3"/>
        <charset val="134"/>
        <scheme val="minor"/>
      </rPr>
      <t>农</t>
    </r>
    <r>
      <rPr>
        <sz val="11"/>
        <color theme="1"/>
        <rFont val="ＭＳ Ｐゴシック"/>
        <family val="3"/>
        <charset val="128"/>
        <scheme val="minor"/>
      </rPr>
      <t>副</t>
    </r>
    <r>
      <rPr>
        <sz val="11"/>
        <color theme="1"/>
        <rFont val="ＭＳ Ｐゴシック"/>
        <family val="3"/>
        <charset val="134"/>
        <scheme val="minor"/>
      </rPr>
      <t>产</t>
    </r>
    <r>
      <rPr>
        <sz val="11"/>
        <color theme="1"/>
        <rFont val="ＭＳ Ｐゴシック"/>
        <family val="3"/>
        <charset val="128"/>
        <scheme val="minor"/>
      </rPr>
      <t>品商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</si>
  <si>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汽酒; 白酒; 米酒; 果酒;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梅酒; 葡萄酒</t>
    </r>
  </si>
  <si>
    <t>花海洞天</t>
  </si>
  <si>
    <t>朱小勇</t>
  </si>
  <si>
    <r>
      <t>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威士忌;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</t>
    </r>
  </si>
  <si>
    <t>拉卡努伊</t>
  </si>
  <si>
    <r>
      <t>预调</t>
    </r>
    <r>
      <rPr>
        <sz val="11"/>
        <color theme="1"/>
        <rFont val="ＭＳ Ｐゴシック"/>
        <family val="3"/>
        <charset val="128"/>
        <scheme val="minor"/>
      </rPr>
      <t xml:space="preserve">甜酒; 白酒; 朗姆酒;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清酒;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</t>
    </r>
  </si>
  <si>
    <r>
      <t>喜</t>
    </r>
    <r>
      <rPr>
        <sz val="11"/>
        <color theme="1"/>
        <rFont val="ＭＳ Ｐゴシック"/>
        <family val="3"/>
        <charset val="134"/>
        <scheme val="minor"/>
      </rPr>
      <t>赐龙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</si>
  <si>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白酒;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高粱酒; 葡萄酒; 米酒; 黄酒</t>
    </r>
  </si>
  <si>
    <r>
      <t>娇</t>
    </r>
    <r>
      <rPr>
        <sz val="11"/>
        <color theme="1"/>
        <rFont val="ＭＳ Ｐゴシック"/>
        <family val="3"/>
        <charset val="128"/>
        <scheme val="minor"/>
      </rPr>
      <t>迹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</si>
  <si>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白酒; 食用酒精;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威士忌; 清酒（日本米酒）;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</t>
    </r>
  </si>
  <si>
    <t>万心</t>
  </si>
  <si>
    <r>
      <t>陕</t>
    </r>
    <r>
      <rPr>
        <sz val="11"/>
        <color theme="1"/>
        <rFont val="ＭＳ Ｐゴシック"/>
        <family val="3"/>
        <charset val="128"/>
        <scheme val="minor"/>
      </rPr>
      <t>西百利恩</t>
    </r>
    <r>
      <rPr>
        <sz val="11"/>
        <color theme="1"/>
        <rFont val="ＭＳ Ｐゴシック"/>
        <family val="3"/>
        <charset val="134"/>
        <scheme val="minor"/>
      </rPr>
      <t>实业</t>
    </r>
    <r>
      <rPr>
        <sz val="11"/>
        <color theme="1"/>
        <rFont val="ＭＳ Ｐゴシック"/>
        <family val="3"/>
        <charset val="128"/>
        <scheme val="minor"/>
      </rPr>
      <t>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股份有限公司</t>
    </r>
  </si>
  <si>
    <r>
      <t xml:space="preserve">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</si>
  <si>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t>玥王</t>
  </si>
  <si>
    <r>
      <t>东</t>
    </r>
    <r>
      <rPr>
        <sz val="11"/>
        <color theme="1"/>
        <rFont val="ＭＳ Ｐゴシック"/>
        <family val="3"/>
        <charset val="128"/>
        <scheme val="minor"/>
      </rPr>
      <t>莞市新玥科技有限公司</t>
    </r>
  </si>
  <si>
    <r>
      <t>米酒; 黄酒; 白酒;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梅酒; 青梅酒;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果酒; 高粱酒</t>
    </r>
  </si>
  <si>
    <r>
      <t>男</t>
    </r>
    <r>
      <rPr>
        <sz val="11"/>
        <color theme="1"/>
        <rFont val="ＭＳ Ｐゴシック"/>
        <family val="3"/>
        <charset val="134"/>
        <scheme val="minor"/>
      </rPr>
      <t>尔</t>
    </r>
    <r>
      <rPr>
        <sz val="11"/>
        <color theme="1"/>
        <rFont val="ＭＳ Ｐゴシック"/>
        <family val="3"/>
        <charset val="128"/>
        <scheme val="minor"/>
      </rPr>
      <t>爵庄园</t>
    </r>
  </si>
  <si>
    <r>
      <t>果酒（含酒精）; 利口酒;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威士忌;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起泡白葡萄酒</t>
    </r>
  </si>
  <si>
    <r>
      <t>马</t>
    </r>
    <r>
      <rPr>
        <sz val="11"/>
        <color theme="1"/>
        <rFont val="ＭＳ Ｐゴシック"/>
        <family val="3"/>
        <charset val="128"/>
        <scheme val="minor"/>
      </rPr>
      <t>邑利</t>
    </r>
  </si>
  <si>
    <r>
      <t>上海稚醇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</si>
  <si>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 xml:space="preserve">杜松子酒; 果酒（含酒精）; 伏特加酒;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葡萄酒; 朗姆酒;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</si>
  <si>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玉世天下</t>
  </si>
  <si>
    <t>樊俊歧</t>
  </si>
  <si>
    <r>
      <t>苹果酒;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清酒（日本米酒）;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餐后酒（利口酒和烈酒）; 黄酒;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</si>
  <si>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木</t>
    </r>
    <r>
      <rPr>
        <sz val="11"/>
        <color theme="1"/>
        <rFont val="ＭＳ Ｐゴシック"/>
        <family val="3"/>
        <charset val="134"/>
        <scheme val="minor"/>
      </rPr>
      <t>宫</t>
    </r>
    <r>
      <rPr>
        <sz val="11"/>
        <color theme="1"/>
        <rFont val="ＭＳ Ｐゴシック"/>
        <family val="3"/>
        <charset val="128"/>
        <scheme val="minor"/>
      </rPr>
      <t>匠</t>
    </r>
  </si>
  <si>
    <t>佛山市天棋家具有限公司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</si>
  <si>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黄酒; 葡萄酒; 餐后酒（利口酒和烈酒）; 米酒; 果酒（含酒精）; 开胃酒;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</si>
  <si>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t>嘉文金手指</t>
  </si>
  <si>
    <t>黄丕崇</t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</si>
  <si>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酸酒（低等葡萄酒）; 清酒（日本米酒）;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葡萄酒; 汽酒</t>
    </r>
  </si>
  <si>
    <t>味知香</t>
  </si>
  <si>
    <r>
      <t>苏</t>
    </r>
    <r>
      <rPr>
        <sz val="11"/>
        <color theme="1"/>
        <rFont val="ＭＳ Ｐゴシック"/>
        <family val="3"/>
        <charset val="128"/>
        <scheme val="minor"/>
      </rPr>
      <t>州市味知香食品股份有限公司</t>
    </r>
  </si>
  <si>
    <r>
      <t xml:space="preserve">开胃酒;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食用酒精; 黄酒; 葡萄酒; 利口酒;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</si>
  <si>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双堡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江印象</t>
    </r>
  </si>
  <si>
    <t>周喜全</t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</si>
  <si>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开胃酒; 白酒; 米酒;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利口酒;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</si>
  <si>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柏弈</t>
    </r>
    <r>
      <rPr>
        <sz val="11"/>
        <color theme="1"/>
        <rFont val="ＭＳ Ｐゴシック"/>
        <family val="3"/>
        <charset val="134"/>
        <scheme val="minor"/>
      </rPr>
      <t>乐见</t>
    </r>
  </si>
  <si>
    <t>上海酷客葡萄酒有限公司</t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</si>
  <si>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白葡萄酒;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主的开胃酒;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</si>
  <si>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世才</t>
    </r>
    <r>
      <rPr>
        <sz val="11"/>
        <color theme="1"/>
        <rFont val="ＭＳ Ｐゴシック"/>
        <family val="3"/>
        <charset val="134"/>
        <scheme val="minor"/>
      </rPr>
      <t>风华</t>
    </r>
  </si>
  <si>
    <r>
      <t>白酒; 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威士忌; 青稞酒;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葡萄酒</t>
    </r>
  </si>
  <si>
    <t>香触</t>
  </si>
  <si>
    <r>
      <t>四川</t>
    </r>
    <r>
      <rPr>
        <sz val="11"/>
        <color theme="1"/>
        <rFont val="ＭＳ Ｐゴシック"/>
        <family val="3"/>
        <charset val="134"/>
        <scheme val="minor"/>
      </rPr>
      <t>东泼</t>
    </r>
    <r>
      <rPr>
        <sz val="11"/>
        <color theme="1"/>
        <rFont val="ＭＳ Ｐゴシック"/>
        <family val="3"/>
        <charset val="128"/>
        <scheme val="minor"/>
      </rPr>
      <t>醴白酒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</si>
  <si>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果酒; 伏特加酒; </t>
    </r>
    <r>
      <rPr>
        <sz val="11"/>
        <color theme="1"/>
        <rFont val="ＭＳ Ｐゴシック"/>
        <family val="3"/>
        <charset val="134"/>
        <scheme val="minor"/>
      </rPr>
      <t>亚</t>
    </r>
    <r>
      <rPr>
        <sz val="11"/>
        <color theme="1"/>
        <rFont val="ＭＳ Ｐゴシック"/>
        <family val="3"/>
        <charset val="128"/>
        <scheme val="minor"/>
      </rPr>
      <t>力酒;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葡萄酒; 朗姆酒; 利口酒; 白酒</t>
    </r>
  </si>
  <si>
    <r>
      <t>龙飞</t>
    </r>
    <r>
      <rPr>
        <sz val="11"/>
        <color theme="1"/>
        <rFont val="ＭＳ Ｐゴシック"/>
        <family val="3"/>
        <charset val="128"/>
        <scheme val="minor"/>
      </rPr>
      <t>·明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</si>
  <si>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葡萄酒; 食用酒精; 白酒; 果酒;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蒸煮提取物（利口酒和烈酒）;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</si>
  <si>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靓</t>
    </r>
    <r>
      <rPr>
        <sz val="11"/>
        <color theme="1"/>
        <rFont val="ＭＳ Ｐゴシック"/>
        <family val="3"/>
        <charset val="128"/>
        <scheme val="minor"/>
      </rPr>
      <t>山</t>
    </r>
    <r>
      <rPr>
        <sz val="11"/>
        <color theme="1"/>
        <rFont val="ＭＳ Ｐゴシック"/>
        <family val="3"/>
        <charset val="134"/>
        <scheme val="minor"/>
      </rPr>
      <t>嘢</t>
    </r>
  </si>
  <si>
    <r>
      <t>广</t>
    </r>
    <r>
      <rPr>
        <sz val="11"/>
        <color theme="1"/>
        <rFont val="ＭＳ Ｐゴシック"/>
        <family val="3"/>
        <charset val="134"/>
        <scheme val="minor"/>
      </rPr>
      <t>东庆硕</t>
    </r>
    <r>
      <rPr>
        <sz val="11"/>
        <color theme="1"/>
        <rFont val="ＭＳ Ｐゴシック"/>
        <family val="3"/>
        <charset val="128"/>
        <scheme val="minor"/>
      </rPr>
      <t>云</t>
    </r>
    <r>
      <rPr>
        <sz val="11"/>
        <color theme="1"/>
        <rFont val="ＭＳ Ｐゴシック"/>
        <family val="3"/>
        <charset val="134"/>
        <scheme val="minor"/>
      </rPr>
      <t>农业发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</si>
  <si>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青梅酒; 葡萄酒; 白酒; 果酒（含酒精）; 威士忌;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</si>
  <si>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满</t>
    </r>
    <r>
      <rPr>
        <sz val="11"/>
        <color theme="1"/>
        <rFont val="ＭＳ Ｐゴシック"/>
        <family val="3"/>
        <charset val="128"/>
        <scheme val="minor"/>
      </rPr>
      <t>弦弓</t>
    </r>
  </si>
  <si>
    <r>
      <t xml:space="preserve">高粱酒;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食用酒精; 烈酒;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果酒; 米酒; 白酒; 甜酒</t>
    </r>
  </si>
  <si>
    <r>
      <t>斐丹</t>
    </r>
    <r>
      <rPr>
        <sz val="11"/>
        <color theme="1"/>
        <rFont val="ＭＳ Ｐゴシック"/>
        <family val="3"/>
        <charset val="134"/>
        <scheme val="minor"/>
      </rPr>
      <t>图</t>
    </r>
  </si>
  <si>
    <r>
      <t>文</t>
    </r>
    <r>
      <rPr>
        <sz val="11"/>
        <color theme="1"/>
        <rFont val="ＭＳ Ｐゴシック"/>
        <family val="3"/>
        <charset val="134"/>
        <scheme val="minor"/>
      </rPr>
      <t>丽</t>
    </r>
    <r>
      <rPr>
        <sz val="11"/>
        <color theme="1"/>
        <rFont val="ＭＳ Ｐゴシック"/>
        <family val="3"/>
        <charset val="128"/>
        <scheme val="minor"/>
      </rPr>
      <t>君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</si>
  <si>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白酒; 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果酒（含酒精）</t>
    </r>
  </si>
  <si>
    <t>福熙山</t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</si>
  <si>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黄酒;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清酒; 果酒（含酒精）</t>
    </r>
  </si>
  <si>
    <r>
      <t>丽</t>
    </r>
    <r>
      <rPr>
        <sz val="11"/>
        <color theme="1"/>
        <rFont val="ＭＳ Ｐゴシック"/>
        <family val="3"/>
        <charset val="128"/>
        <scheme val="minor"/>
      </rPr>
      <t>江</t>
    </r>
    <r>
      <rPr>
        <sz val="11"/>
        <color theme="1"/>
        <rFont val="ＭＳ Ｐゴシック"/>
        <family val="3"/>
        <charset val="134"/>
        <scheme val="minor"/>
      </rPr>
      <t>丽</t>
    </r>
    <r>
      <rPr>
        <sz val="11"/>
        <color theme="1"/>
        <rFont val="ＭＳ Ｐゴシック"/>
        <family val="3"/>
        <charset val="128"/>
        <scheme val="minor"/>
      </rPr>
      <t>花生物科技有限公司</t>
    </r>
  </si>
  <si>
    <r>
      <t>果酒（含酒精）; 青稞酒; 薄荷酒; 苦味酒; 黄酒;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柑香酒; 苹果酒</t>
    </r>
  </si>
  <si>
    <t>山禾糙</t>
  </si>
  <si>
    <r>
      <t xml:space="preserve">威士忌; </t>
    </r>
    <r>
      <rPr>
        <sz val="11"/>
        <color theme="1"/>
        <rFont val="ＭＳ Ｐゴシック"/>
        <family val="3"/>
        <charset val="134"/>
        <scheme val="minor"/>
      </rPr>
      <t>预调</t>
    </r>
    <r>
      <rPr>
        <sz val="11"/>
        <color theme="1"/>
        <rFont val="ＭＳ Ｐゴシック"/>
        <family val="3"/>
        <charset val="128"/>
        <scheme val="minor"/>
      </rPr>
      <t xml:space="preserve">甜酒; 清酒; 朗姆酒;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葡萄酒; 米酒</t>
    </r>
  </si>
  <si>
    <t>荣年酒坊</t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</si>
  <si>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白酒; 苹果酒; 威士忌;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</si>
  <si>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雅善台</t>
  </si>
  <si>
    <r>
      <t>白酒; 高粱酒; 烈酒; 葡萄酒; 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露酒;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</t>
    </r>
  </si>
  <si>
    <r>
      <t>龙飞</t>
    </r>
    <r>
      <rPr>
        <sz val="11"/>
        <color theme="1"/>
        <rFont val="ＭＳ Ｐゴシック"/>
        <family val="3"/>
        <charset val="128"/>
        <scheme val="minor"/>
      </rPr>
      <t>·唐</t>
    </r>
  </si>
  <si>
    <r>
      <t>葡萄酒; 蒸煮提取物（利口酒和烈酒）;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米酒; 食用酒精; 果酒; 白酒</t>
    </r>
  </si>
  <si>
    <r>
      <t>兴</t>
    </r>
    <r>
      <rPr>
        <sz val="11"/>
        <color theme="1"/>
        <rFont val="ＭＳ Ｐゴシック"/>
        <family val="3"/>
        <charset val="128"/>
        <scheme val="minor"/>
      </rPr>
      <t>露</t>
    </r>
  </si>
  <si>
    <t>李洲洲</t>
  </si>
  <si>
    <r>
      <t>米酒;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黄酒;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伏特加酒; 高粱酒</t>
    </r>
  </si>
  <si>
    <t>勤天妙品</t>
  </si>
  <si>
    <r>
      <t>吴宝</t>
    </r>
    <r>
      <rPr>
        <sz val="11"/>
        <color theme="1"/>
        <rFont val="ＭＳ Ｐゴシック"/>
        <family val="3"/>
        <charset val="134"/>
        <scheme val="minor"/>
      </rPr>
      <t>红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</si>
  <si>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清酒; 葡萄酒; 黄酒; 威士忌; 伏特加酒</t>
    </r>
  </si>
  <si>
    <r>
      <t>影</t>
    </r>
    <r>
      <rPr>
        <sz val="11"/>
        <color theme="1"/>
        <rFont val="ＭＳ Ｐゴシック"/>
        <family val="3"/>
        <charset val="134"/>
        <scheme val="minor"/>
      </rPr>
      <t>颂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</si>
  <si>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威士忌; 葡萄酒; 白酒; 食用酒精; 米酒; 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</si>
  <si>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甄养松鼠</t>
  </si>
  <si>
    <r>
      <t>蒸煮提取物（利口酒和烈酒）; 黄酒; 烈酒;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葡萄酒; 果酒（含酒精）; 白酒; 开胃酒;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</si>
  <si>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麟</t>
    </r>
    <r>
      <rPr>
        <sz val="11"/>
        <color theme="1"/>
        <rFont val="ＭＳ Ｐゴシック"/>
        <family val="3"/>
        <charset val="134"/>
        <scheme val="minor"/>
      </rPr>
      <t>际</t>
    </r>
  </si>
  <si>
    <r>
      <t>白酒; 食用酒精; 清酒（日本米酒）; 果酒（含酒精）; 米酒; 葡萄酒;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</si>
  <si>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金禧台</t>
    </r>
    <r>
      <rPr>
        <sz val="11"/>
        <color theme="1"/>
        <rFont val="ＭＳ Ｐゴシック"/>
        <family val="3"/>
        <charset val="134"/>
        <scheme val="minor"/>
      </rPr>
      <t>闽</t>
    </r>
    <r>
      <rPr>
        <sz val="11"/>
        <color theme="1"/>
        <rFont val="ＭＳ Ｐゴシック"/>
        <family val="3"/>
        <charset val="128"/>
        <scheme val="minor"/>
      </rPr>
      <t>狼</t>
    </r>
  </si>
  <si>
    <r>
      <t xml:space="preserve">米酒; 黄酒; 烈性干酒;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白干酒（中国白酒）;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</si>
  <si>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t>帆窖天下</t>
  </si>
  <si>
    <r>
      <t xml:space="preserve">清酒（日本米酒）; 白酒; 米酒;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果酒（含酒精）; 烈酒</t>
    </r>
  </si>
  <si>
    <t>盛徽印</t>
  </si>
  <si>
    <t>高嵩</t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</si>
  <si>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果酒（含酒精）;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白酒; 清酒（日本米酒）; 开胃酒</t>
    </r>
  </si>
  <si>
    <r>
      <t>宝石</t>
    </r>
    <r>
      <rPr>
        <sz val="11"/>
        <color theme="1"/>
        <rFont val="ＭＳ Ｐゴシック"/>
        <family val="3"/>
        <charset val="134"/>
        <scheme val="minor"/>
      </rPr>
      <t>凤</t>
    </r>
  </si>
  <si>
    <r>
      <t>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苹果酒; 米酒; 露酒; 餐后酒（利口酒和烈酒）;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</si>
  <si>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魁中王</t>
  </si>
  <si>
    <r>
      <t xml:space="preserve">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清酒（日本米酒）;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葡萄酒; 蜂蜜酒; 果酒（含酒精）; 利口酒; 白酒</t>
    </r>
  </si>
  <si>
    <t>松月溪</t>
  </si>
  <si>
    <r>
      <t>四川中青文化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</si>
  <si>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黄酒; 露酒; 威士忌; 伏特加酒; 梅酒; 朗姆酒; 白酒; 烈酒; 利口酒;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</t>
    </r>
  </si>
  <si>
    <t>珍小主</t>
  </si>
  <si>
    <t>金玉</t>
  </si>
  <si>
    <r>
      <t xml:space="preserve">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葡萄酒; 青稞酒; 烈酒; 高粱酒; 黄酒; 米酒</t>
    </r>
  </si>
  <si>
    <r>
      <t>小</t>
    </r>
    <r>
      <rPr>
        <sz val="11"/>
        <color theme="1"/>
        <rFont val="ＭＳ Ｐゴシック"/>
        <family val="3"/>
        <charset val="134"/>
        <scheme val="minor"/>
      </rPr>
      <t>圆</t>
    </r>
    <r>
      <rPr>
        <sz val="11"/>
        <color theme="1"/>
        <rFont val="ＭＳ Ｐゴシック"/>
        <family val="3"/>
        <charset val="128"/>
        <scheme val="minor"/>
      </rPr>
      <t>二</t>
    </r>
  </si>
  <si>
    <r>
      <t xml:space="preserve">朗姆酒; 黄酒; 蜂蜜酒; 米酒; 清酒（日本米酒）; 葡萄酒;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</t>
    </r>
  </si>
  <si>
    <t>修妍菲</t>
  </si>
  <si>
    <r>
      <t>余</t>
    </r>
    <r>
      <rPr>
        <sz val="11"/>
        <color theme="1"/>
        <rFont val="ＭＳ Ｐゴシック"/>
        <family val="3"/>
        <charset val="134"/>
        <scheme val="minor"/>
      </rPr>
      <t>进</t>
    </r>
    <r>
      <rPr>
        <sz val="11"/>
        <color theme="1"/>
        <rFont val="ＭＳ Ｐゴシック"/>
        <family val="3"/>
        <charset val="128"/>
        <scheme val="minor"/>
      </rPr>
      <t>海******************</t>
    </r>
  </si>
  <si>
    <r>
      <t>白酒; 葡萄酒;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黄酒; 米酒; 甜酒; 威士忌;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</t>
    </r>
  </si>
  <si>
    <t>佳如愿</t>
  </si>
  <si>
    <t>黄永科</t>
  </si>
  <si>
    <r>
      <t xml:space="preserve">米酒; 威士忌; 烈酒; 葡萄酒; 白酒; 黄酒;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蒸煮提取物（利口酒和烈酒）;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</si>
  <si>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郝井</t>
  </si>
  <si>
    <t>郝玉虎******************</t>
  </si>
  <si>
    <r>
      <t xml:space="preserve">白酒; 白干酒（中国白酒）; 米酒;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烈酒; 果酒</t>
    </r>
  </si>
  <si>
    <t>宋谷</t>
  </si>
  <si>
    <r>
      <t>白酒; 食用酒精;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米酒;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露酒;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</si>
  <si>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壹原</t>
    </r>
    <r>
      <rPr>
        <sz val="11"/>
        <color theme="1"/>
        <rFont val="ＭＳ Ｐゴシック"/>
        <family val="3"/>
        <charset val="134"/>
        <scheme val="minor"/>
      </rPr>
      <t>爱</t>
    </r>
  </si>
  <si>
    <r>
      <t>张</t>
    </r>
    <r>
      <rPr>
        <sz val="11"/>
        <color theme="1"/>
        <rFont val="ＭＳ Ｐゴシック"/>
        <family val="3"/>
        <charset val="128"/>
        <scheme val="minor"/>
      </rPr>
      <t>建国</t>
    </r>
  </si>
  <si>
    <r>
      <t>清酒（日本米酒）; 果酒（含酒精）; 威士忌; 开胃酒;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葡萄酒; 米酒; 白酒; 伏特加酒; 黄酒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</si>
  <si>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蜂蜜酒;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蝮蛇酒; 甜酒; 利口酒;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刺五加酒; 佐餐酒; 五加皮酒（中国混合烈酒）</t>
    </r>
  </si>
  <si>
    <t>桂广公文包</t>
  </si>
  <si>
    <r>
      <t>周国</t>
    </r>
    <r>
      <rPr>
        <sz val="11"/>
        <color theme="1"/>
        <rFont val="ＭＳ Ｐゴシック"/>
        <family val="3"/>
        <charset val="134"/>
        <scheme val="minor"/>
      </rPr>
      <t>庆</t>
    </r>
  </si>
  <si>
    <r>
      <t xml:space="preserve">米酒;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朝</t>
    </r>
    <r>
      <rPr>
        <sz val="11"/>
        <color theme="1"/>
        <rFont val="ＭＳ Ｐゴシック"/>
        <family val="3"/>
        <charset val="134"/>
        <scheme val="minor"/>
      </rPr>
      <t>鲜</t>
    </r>
    <r>
      <rPr>
        <sz val="11"/>
        <color theme="1"/>
        <rFont val="ＭＳ Ｐゴシック"/>
        <family val="3"/>
        <charset val="128"/>
        <scheme val="minor"/>
      </rPr>
      <t>族米酒; 甜果酒;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薄荷酒;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</t>
    </r>
  </si>
  <si>
    <r>
      <t>英</t>
    </r>
    <r>
      <rPr>
        <sz val="11"/>
        <color theme="1"/>
        <rFont val="ＭＳ Ｐゴシック"/>
        <family val="3"/>
        <charset val="134"/>
        <scheme val="minor"/>
      </rPr>
      <t>飒</t>
    </r>
  </si>
  <si>
    <r>
      <t xml:space="preserve">葡萄酒;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白酒; 果酒（含酒精）; 伏特加酒; 威士忌; 露酒; 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</si>
  <si>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馥桂天呈</t>
  </si>
  <si>
    <t>广西林草生物科技有限公司</t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</si>
  <si>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黄酒; 米酒; 白葡萄酒; 露酒;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甜酒</t>
    </r>
  </si>
  <si>
    <t>凰姿</t>
  </si>
  <si>
    <r>
      <t>葡萄酒; 果酒（含酒精）;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食用酒精;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威士忌;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</si>
  <si>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鑫泉澄商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</si>
  <si>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米酒; 甜酒;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梨酒; 黄酒; 白酒; 烈酒</t>
    </r>
  </si>
  <si>
    <t>TIANLALA</t>
  </si>
  <si>
    <r>
      <t>安徽</t>
    </r>
    <r>
      <rPr>
        <sz val="11"/>
        <color theme="1"/>
        <rFont val="ＭＳ Ｐゴシック"/>
        <family val="3"/>
        <charset val="134"/>
        <scheme val="minor"/>
      </rPr>
      <t>汇</t>
    </r>
    <r>
      <rPr>
        <sz val="11"/>
        <color theme="1"/>
        <rFont val="ＭＳ Ｐゴシック"/>
        <family val="3"/>
        <charset val="128"/>
        <scheme val="minor"/>
      </rPr>
      <t>旺餐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</si>
  <si>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 xml:space="preserve">葡萄酒;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含酒精蛋奶酒;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清酒; 果酒（含酒精）; 米酒</t>
    </r>
  </si>
  <si>
    <t>如酩台</t>
  </si>
  <si>
    <r>
      <t>李</t>
    </r>
    <r>
      <rPr>
        <sz val="11"/>
        <color theme="1"/>
        <rFont val="ＭＳ Ｐゴシック"/>
        <family val="3"/>
        <charset val="134"/>
        <scheme val="minor"/>
      </rPr>
      <t>继华</t>
    </r>
  </si>
  <si>
    <r>
      <t>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黄酒; 烈酒; 白酒; 开胃酒</t>
    </r>
  </si>
  <si>
    <r>
      <t>喜</t>
    </r>
    <r>
      <rPr>
        <sz val="11"/>
        <color theme="1"/>
        <rFont val="ＭＳ Ｐゴシック"/>
        <family val="3"/>
        <charset val="134"/>
        <scheme val="minor"/>
      </rPr>
      <t>鹊窝</t>
    </r>
    <r>
      <rPr>
        <sz val="11"/>
        <color theme="1"/>
        <rFont val="ＭＳ Ｐゴシック"/>
        <family val="3"/>
        <charset val="128"/>
        <scheme val="minor"/>
      </rPr>
      <t>小喜</t>
    </r>
    <r>
      <rPr>
        <sz val="11"/>
        <color theme="1"/>
        <rFont val="ＭＳ Ｐゴシック"/>
        <family val="3"/>
        <charset val="134"/>
        <scheme val="minor"/>
      </rPr>
      <t>鹊</t>
    </r>
  </si>
  <si>
    <r>
      <t xml:space="preserve">米酒; 清酒; 果酒（含酒精）; 青稞酒; 白酒; 高粱酒;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梅酒; 白干酒（中国白酒）</t>
    </r>
  </si>
  <si>
    <r>
      <t>辽</t>
    </r>
    <r>
      <rPr>
        <sz val="11"/>
        <color theme="1"/>
        <rFont val="ＭＳ Ｐゴシック"/>
        <family val="3"/>
        <charset val="128"/>
        <scheme val="minor"/>
      </rPr>
      <t>宁</t>
    </r>
    <r>
      <rPr>
        <sz val="11"/>
        <color theme="1"/>
        <rFont val="ＭＳ Ｐゴシック"/>
        <family val="3"/>
        <charset val="134"/>
        <scheme val="minor"/>
      </rPr>
      <t>农业职业</t>
    </r>
    <r>
      <rPr>
        <sz val="11"/>
        <color theme="1"/>
        <rFont val="ＭＳ Ｐゴシック"/>
        <family val="3"/>
        <charset val="128"/>
        <scheme val="minor"/>
      </rPr>
      <t>技</t>
    </r>
    <r>
      <rPr>
        <sz val="11"/>
        <color theme="1"/>
        <rFont val="ＭＳ Ｐゴシック"/>
        <family val="3"/>
        <charset val="134"/>
        <scheme val="minor"/>
      </rPr>
      <t>术</t>
    </r>
    <r>
      <rPr>
        <sz val="11"/>
        <color theme="1"/>
        <rFont val="ＭＳ Ｐゴシック"/>
        <family val="3"/>
        <charset val="128"/>
        <scheme val="minor"/>
      </rPr>
      <t>学院惠</t>
    </r>
    <r>
      <rPr>
        <sz val="11"/>
        <color theme="1"/>
        <rFont val="ＭＳ Ｐゴシック"/>
        <family val="3"/>
        <charset val="134"/>
        <scheme val="minor"/>
      </rPr>
      <t>农</t>
    </r>
    <r>
      <rPr>
        <sz val="11"/>
        <color theme="1"/>
        <rFont val="ＭＳ Ｐゴシック"/>
        <family val="3"/>
        <charset val="128"/>
        <scheme val="minor"/>
      </rPr>
      <t>科技有限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</si>
  <si>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威士忌;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果酒（含酒精）</t>
    </r>
  </si>
  <si>
    <r>
      <t>杏运尊</t>
    </r>
    <r>
      <rPr>
        <sz val="11"/>
        <color theme="1"/>
        <rFont val="ＭＳ Ｐゴシック"/>
        <family val="3"/>
        <charset val="134"/>
        <scheme val="minor"/>
      </rPr>
      <t>华</t>
    </r>
  </si>
  <si>
    <r>
      <t xml:space="preserve">青稞酒;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伏特加酒; 威士忌; 米酒; 白酒</t>
    </r>
  </si>
  <si>
    <r>
      <t>龙飞</t>
    </r>
    <r>
      <rPr>
        <sz val="11"/>
        <color theme="1"/>
        <rFont val="ＭＳ Ｐゴシック"/>
        <family val="3"/>
        <charset val="128"/>
        <scheme val="minor"/>
      </rPr>
      <t>·元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</si>
  <si>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米酒; 食用酒精;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蒸煮提取物（利口酒和烈酒）; 葡萄酒; 果酒</t>
    </r>
  </si>
  <si>
    <t>嘉孔雀</t>
  </si>
  <si>
    <r>
      <t>西双版</t>
    </r>
    <r>
      <rPr>
        <sz val="11"/>
        <color theme="1"/>
        <rFont val="ＭＳ Ｐゴシック"/>
        <family val="3"/>
        <charset val="134"/>
        <scheme val="minor"/>
      </rPr>
      <t>纳郑凯凯农业发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</si>
  <si>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米酒; 黄酒; 果酒（含酒精）; 清酒（日本米酒）; 白酒; 苦味酒;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薄荷酒</t>
    </r>
  </si>
  <si>
    <r>
      <t>福</t>
    </r>
    <r>
      <rPr>
        <sz val="11"/>
        <color theme="1"/>
        <rFont val="ＭＳ Ｐゴシック"/>
        <family val="3"/>
        <charset val="134"/>
        <scheme val="minor"/>
      </rPr>
      <t>节</t>
    </r>
  </si>
  <si>
    <r>
      <t>白干酒（中国白酒）;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起泡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白酒;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青稞酒; 甜果酒;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</si>
  <si>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亣乔</t>
    </r>
    <r>
      <rPr>
        <sz val="11"/>
        <color theme="1"/>
        <rFont val="ＭＳ Ｐゴシック"/>
        <family val="3"/>
        <charset val="128"/>
        <scheme val="minor"/>
      </rPr>
      <t>粱</t>
    </r>
  </si>
  <si>
    <t>惠州市鑫恩邦物流有限公司</t>
  </si>
  <si>
    <r>
      <t xml:space="preserve">葡萄酒; 餐后酒（利口酒和烈酒）;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黄酒;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</si>
  <si>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森</t>
    </r>
    <r>
      <rPr>
        <sz val="11"/>
        <color theme="1"/>
        <rFont val="ＭＳ Ｐゴシック"/>
        <family val="3"/>
        <charset val="134"/>
        <scheme val="minor"/>
      </rPr>
      <t>侣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</si>
  <si>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食用酒精; 米酒; 果酒（含酒精）; 威士忌; 白酒; 清酒（日本米酒）;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</si>
  <si>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鲨</t>
    </r>
    <r>
      <rPr>
        <sz val="11"/>
        <color theme="1"/>
        <rFont val="ＭＳ Ｐゴシック"/>
        <family val="3"/>
        <charset val="128"/>
        <scheme val="minor"/>
      </rPr>
      <t>主</t>
    </r>
  </si>
  <si>
    <r>
      <t>果酒（含酒精）; 米酒; 葡萄酒; 威士忌; 食用酒精;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清酒（日本米酒）;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</si>
  <si>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名花鹿</t>
  </si>
  <si>
    <r>
      <t>辉</t>
    </r>
    <r>
      <rPr>
        <sz val="11"/>
        <color theme="1"/>
        <rFont val="ＭＳ Ｐゴシック"/>
        <family val="3"/>
        <charset val="128"/>
        <scheme val="minor"/>
      </rPr>
      <t>盛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</si>
  <si>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果酒（含酒精）; 葡萄酒; 食用酒精</t>
    </r>
  </si>
  <si>
    <t>菩然</t>
  </si>
  <si>
    <r>
      <t>成都</t>
    </r>
    <r>
      <rPr>
        <sz val="11"/>
        <color theme="1"/>
        <rFont val="ＭＳ Ｐゴシック"/>
        <family val="3"/>
        <charset val="134"/>
        <scheme val="minor"/>
      </rPr>
      <t>轻态</t>
    </r>
    <r>
      <rPr>
        <sz val="11"/>
        <color theme="1"/>
        <rFont val="ＭＳ Ｐゴシック"/>
        <family val="3"/>
        <charset val="128"/>
        <scheme val="minor"/>
      </rPr>
      <t>广告</t>
    </r>
    <r>
      <rPr>
        <sz val="11"/>
        <color theme="1"/>
        <rFont val="ＭＳ Ｐゴシック"/>
        <family val="3"/>
        <charset val="134"/>
        <scheme val="minor"/>
      </rPr>
      <t>设计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</si>
  <si>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葡萄酒; 米酒;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薄荷酒; 利口酒; 苦味酒;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</si>
  <si>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盏</t>
    </r>
    <r>
      <rPr>
        <sz val="11"/>
        <color theme="1"/>
        <rFont val="ＭＳ Ｐゴシック"/>
        <family val="3"/>
        <charset val="128"/>
        <scheme val="minor"/>
      </rPr>
      <t>柔</t>
    </r>
  </si>
  <si>
    <r>
      <t>葡萄酒; 食用酒精; 果酒（含酒精）; 烈酒; 白酒;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</si>
  <si>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定</t>
    </r>
    <r>
      <rPr>
        <sz val="11"/>
        <color theme="1"/>
        <rFont val="ＭＳ Ｐゴシック"/>
        <family val="3"/>
        <charset val="134"/>
        <scheme val="minor"/>
      </rPr>
      <t>泽</t>
    </r>
  </si>
  <si>
    <r>
      <t>南宁市西</t>
    </r>
    <r>
      <rPr>
        <sz val="11"/>
        <color theme="1"/>
        <rFont val="ＭＳ Ｐゴシック"/>
        <family val="3"/>
        <charset val="134"/>
        <scheme val="minor"/>
      </rPr>
      <t>乡</t>
    </r>
    <r>
      <rPr>
        <sz val="11"/>
        <color theme="1"/>
        <rFont val="ＭＳ Ｐゴシック"/>
        <family val="3"/>
        <charset val="128"/>
        <scheme val="minor"/>
      </rPr>
      <t>塘区定</t>
    </r>
    <r>
      <rPr>
        <sz val="11"/>
        <color theme="1"/>
        <rFont val="ＭＳ Ｐゴシック"/>
        <family val="3"/>
        <charset val="134"/>
        <scheme val="minor"/>
      </rPr>
      <t>泽</t>
    </r>
    <r>
      <rPr>
        <sz val="11"/>
        <color theme="1"/>
        <rFont val="ＭＳ Ｐゴシック"/>
        <family val="3"/>
        <charset val="128"/>
        <scheme val="minor"/>
      </rPr>
      <t>食品</t>
    </r>
    <r>
      <rPr>
        <sz val="11"/>
        <color theme="1"/>
        <rFont val="ＭＳ Ｐゴシック"/>
        <family val="3"/>
        <charset val="134"/>
        <scheme val="minor"/>
      </rPr>
      <t>经营</t>
    </r>
    <r>
      <rPr>
        <sz val="11"/>
        <color theme="1"/>
        <rFont val="ＭＳ Ｐゴシック"/>
        <family val="3"/>
        <charset val="128"/>
        <scheme val="minor"/>
      </rPr>
      <t>部</t>
    </r>
  </si>
  <si>
    <r>
      <t xml:space="preserve">威士忌;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食用酒精; 白酒; 清酒;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</si>
  <si>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雄豹之姿</t>
  </si>
  <si>
    <r>
      <t>佛山市</t>
    </r>
    <r>
      <rPr>
        <sz val="11"/>
        <color theme="1"/>
        <rFont val="ＭＳ Ｐゴシック"/>
        <family val="3"/>
        <charset val="134"/>
        <scheme val="minor"/>
      </rPr>
      <t>顺</t>
    </r>
    <r>
      <rPr>
        <sz val="11"/>
        <color theme="1"/>
        <rFont val="ＭＳ Ｐゴシック"/>
        <family val="3"/>
        <charset val="128"/>
        <scheme val="minor"/>
      </rPr>
      <t>德区力</t>
    </r>
    <r>
      <rPr>
        <sz val="11"/>
        <color theme="1"/>
        <rFont val="ＭＳ Ｐゴシック"/>
        <family val="3"/>
        <charset val="134"/>
        <scheme val="minor"/>
      </rPr>
      <t>诗</t>
    </r>
    <r>
      <rPr>
        <sz val="11"/>
        <color theme="1"/>
        <rFont val="ＭＳ Ｐゴシック"/>
        <family val="3"/>
        <charset val="128"/>
        <scheme val="minor"/>
      </rPr>
      <t>生物科技有限公司</t>
    </r>
  </si>
  <si>
    <r>
      <t>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蜂蜜酒;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</si>
  <si>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宏</t>
    </r>
    <r>
      <rPr>
        <sz val="11"/>
        <color theme="1"/>
        <rFont val="ＭＳ Ｐゴシック"/>
        <family val="3"/>
        <charset val="134"/>
        <scheme val="minor"/>
      </rPr>
      <t>图</t>
    </r>
    <r>
      <rPr>
        <sz val="11"/>
        <color theme="1"/>
        <rFont val="ＭＳ Ｐゴシック"/>
        <family val="3"/>
        <charset val="128"/>
        <scheme val="minor"/>
      </rPr>
      <t>四海</t>
    </r>
  </si>
  <si>
    <r>
      <t>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苹果酒; 露酒; 餐后酒（利口酒和烈酒）; 果酒（含酒精）;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</si>
  <si>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SWEMIKA</t>
  </si>
  <si>
    <r>
      <t>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米卡新材料科技有限公司</t>
    </r>
  </si>
  <si>
    <r>
      <t>果酒（含酒精）; 清酒（日本米酒）; 黄酒;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</si>
  <si>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舍店老</t>
  </si>
  <si>
    <r>
      <t>贾</t>
    </r>
    <r>
      <rPr>
        <sz val="11"/>
        <color theme="1"/>
        <rFont val="ＭＳ Ｐゴシック"/>
        <family val="3"/>
        <charset val="128"/>
        <scheme val="minor"/>
      </rPr>
      <t>要</t>
    </r>
    <r>
      <rPr>
        <sz val="11"/>
        <color theme="1"/>
        <rFont val="ＭＳ Ｐゴシック"/>
        <family val="3"/>
        <charset val="134"/>
        <scheme val="minor"/>
      </rPr>
      <t>转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</si>
  <si>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白酒; 果酒（含酒精）;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</si>
  <si>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燊</t>
    </r>
    <r>
      <rPr>
        <sz val="11"/>
        <color theme="1"/>
        <rFont val="ＭＳ Ｐゴシック"/>
        <family val="3"/>
        <charset val="134"/>
        <scheme val="minor"/>
      </rPr>
      <t>铭</t>
    </r>
    <r>
      <rPr>
        <sz val="11"/>
        <color theme="1"/>
        <rFont val="ＭＳ Ｐゴシック"/>
        <family val="3"/>
        <charset val="128"/>
        <scheme val="minor"/>
      </rPr>
      <t>泉</t>
    </r>
  </si>
  <si>
    <t>刘晶</t>
  </si>
  <si>
    <r>
      <t>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黄酒; 食用酒精;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</si>
  <si>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天</t>
    </r>
    <r>
      <rPr>
        <sz val="11"/>
        <color theme="1"/>
        <rFont val="ＭＳ Ｐゴシック"/>
        <family val="3"/>
        <charset val="134"/>
        <scheme val="minor"/>
      </rPr>
      <t>马</t>
    </r>
    <r>
      <rPr>
        <sz val="11"/>
        <color theme="1"/>
        <rFont val="ＭＳ Ｐゴシック"/>
        <family val="3"/>
        <charset val="128"/>
        <scheme val="minor"/>
      </rPr>
      <t>才子酒</t>
    </r>
  </si>
  <si>
    <r>
      <t>宜昌山野味</t>
    </r>
    <r>
      <rPr>
        <sz val="11"/>
        <color theme="1"/>
        <rFont val="ＭＳ Ｐゴシック"/>
        <family val="3"/>
        <charset val="134"/>
        <scheme val="minor"/>
      </rPr>
      <t>农产</t>
    </r>
    <r>
      <rPr>
        <sz val="11"/>
        <color theme="1"/>
        <rFont val="ＭＳ Ｐゴシック"/>
        <family val="3"/>
        <charset val="128"/>
        <scheme val="minor"/>
      </rPr>
      <t>品</t>
    </r>
    <r>
      <rPr>
        <sz val="11"/>
        <color theme="1"/>
        <rFont val="ＭＳ Ｐゴシック"/>
        <family val="3"/>
        <charset val="134"/>
        <scheme val="minor"/>
      </rPr>
      <t>专业</t>
    </r>
    <r>
      <rPr>
        <sz val="11"/>
        <color theme="1"/>
        <rFont val="ＭＳ Ｐゴシック"/>
        <family val="3"/>
        <charset val="128"/>
        <scheme val="minor"/>
      </rPr>
      <t>合作社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</si>
  <si>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开胃酒; 白酒;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蜂蜜酒;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米酒; 汽酒; 果酒(含酒精)</t>
    </r>
  </si>
  <si>
    <r>
      <t>华</t>
    </r>
    <r>
      <rPr>
        <sz val="11"/>
        <color theme="1"/>
        <rFont val="ＭＳ Ｐゴシック"/>
        <family val="3"/>
        <charset val="128"/>
        <scheme val="minor"/>
      </rPr>
      <t>园百步梯</t>
    </r>
  </si>
  <si>
    <r>
      <t>兴</t>
    </r>
    <r>
      <rPr>
        <sz val="11"/>
        <color theme="1"/>
        <rFont val="ＭＳ Ｐゴシック"/>
        <family val="3"/>
        <charset val="128"/>
        <scheme val="minor"/>
      </rPr>
      <t>朋会(中山)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</si>
  <si>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葡萄酒; 利口酒;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食用酒精; 开胃酒</t>
    </r>
  </si>
  <si>
    <t>散花基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</si>
  <si>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州洞</t>
    </r>
    <r>
      <rPr>
        <sz val="11"/>
        <color theme="1"/>
        <rFont val="ＭＳ Ｐゴシック"/>
        <family val="3"/>
        <charset val="134"/>
        <scheme val="minor"/>
      </rPr>
      <t>壶酱</t>
    </r>
    <r>
      <rPr>
        <sz val="11"/>
        <color theme="1"/>
        <rFont val="ＭＳ Ｐゴシック"/>
        <family val="3"/>
        <charset val="128"/>
        <scheme val="minor"/>
      </rPr>
      <t>酒供</t>
    </r>
    <r>
      <rPr>
        <sz val="11"/>
        <color theme="1"/>
        <rFont val="ＭＳ Ｐゴシック"/>
        <family val="3"/>
        <charset val="134"/>
        <scheme val="minor"/>
      </rPr>
      <t>应链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</si>
  <si>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甘蔗制烈酒; 葡萄酒;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</si>
  <si>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星火机甲</t>
  </si>
  <si>
    <t>戚高峰</t>
  </si>
  <si>
    <r>
      <t xml:space="preserve">伏特加酒;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清酒（日本米酒）;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</si>
  <si>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亿</t>
    </r>
    <r>
      <rPr>
        <sz val="11"/>
        <color theme="1"/>
        <rFont val="ＭＳ Ｐゴシック"/>
        <family val="3"/>
        <charset val="128"/>
        <scheme val="minor"/>
      </rPr>
      <t>来</t>
    </r>
    <r>
      <rPr>
        <sz val="11"/>
        <color theme="1"/>
        <rFont val="ＭＳ Ｐゴシック"/>
        <family val="3"/>
        <charset val="134"/>
        <scheme val="minor"/>
      </rPr>
      <t>亿</t>
    </r>
    <r>
      <rPr>
        <sz val="11"/>
        <color theme="1"/>
        <rFont val="ＭＳ Ｐゴシック"/>
        <family val="3"/>
        <charset val="128"/>
        <scheme val="minor"/>
      </rPr>
      <t>去</t>
    </r>
  </si>
  <si>
    <r>
      <t>浙江</t>
    </r>
    <r>
      <rPr>
        <sz val="11"/>
        <color theme="1"/>
        <rFont val="ＭＳ Ｐゴシック"/>
        <family val="3"/>
        <charset val="134"/>
        <scheme val="minor"/>
      </rPr>
      <t>蓝</t>
    </r>
    <r>
      <rPr>
        <sz val="11"/>
        <color theme="1"/>
        <rFont val="ＭＳ Ｐゴシック"/>
        <family val="3"/>
        <charset val="128"/>
        <scheme val="minor"/>
      </rPr>
      <t>藤</t>
    </r>
    <r>
      <rPr>
        <sz val="11"/>
        <color theme="1"/>
        <rFont val="ＭＳ Ｐゴシック"/>
        <family val="3"/>
        <charset val="134"/>
        <scheme val="minor"/>
      </rPr>
      <t>电</t>
    </r>
    <r>
      <rPr>
        <sz val="11"/>
        <color theme="1"/>
        <rFont val="ＭＳ Ｐゴシック"/>
        <family val="3"/>
        <charset val="128"/>
        <scheme val="minor"/>
      </rPr>
      <t>子商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</si>
  <si>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葡萄酒;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威士忌; 白酒; 苹果酒; 含酒精的气泡水;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食用酒精; 伏特加酒</t>
    </r>
  </si>
  <si>
    <t>布耕</t>
  </si>
  <si>
    <r>
      <t>惠州市惠城区</t>
    </r>
    <r>
      <rPr>
        <sz val="11"/>
        <color theme="1"/>
        <rFont val="ＭＳ Ｐゴシック"/>
        <family val="3"/>
        <charset val="134"/>
        <scheme val="minor"/>
      </rPr>
      <t>绿</t>
    </r>
    <r>
      <rPr>
        <sz val="11"/>
        <color theme="1"/>
        <rFont val="ＭＳ Ｐゴシック"/>
        <family val="3"/>
        <charset val="128"/>
        <scheme val="minor"/>
      </rPr>
      <t>荷清商行</t>
    </r>
  </si>
  <si>
    <r>
      <t>白干酒（中国白酒）; 高粱酒;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白酒</t>
    </r>
  </si>
  <si>
    <r>
      <t>王梓</t>
    </r>
    <r>
      <rPr>
        <sz val="11"/>
        <color theme="1"/>
        <rFont val="ＭＳ Ｐゴシック"/>
        <family val="3"/>
        <charset val="134"/>
        <scheme val="minor"/>
      </rPr>
      <t>铭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</si>
  <si>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黄酒;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清酒（日本米酒）;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葡萄酒</t>
    </r>
  </si>
  <si>
    <r>
      <t>赖</t>
    </r>
    <r>
      <rPr>
        <sz val="11"/>
        <color theme="1"/>
        <rFont val="ＭＳ Ｐゴシック"/>
        <family val="3"/>
        <charset val="128"/>
        <scheme val="minor"/>
      </rPr>
      <t>美</t>
    </r>
    <r>
      <rPr>
        <sz val="11"/>
        <color theme="1"/>
        <rFont val="ＭＳ Ｐゴシック"/>
        <family val="3"/>
        <charset val="134"/>
        <scheme val="minor"/>
      </rPr>
      <t>丽</t>
    </r>
  </si>
  <si>
    <r>
      <t>广州好奇熊餐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</si>
  <si>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清酒;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</si>
  <si>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赤小陶</t>
  </si>
  <si>
    <r>
      <t>河南省赤上</t>
    </r>
    <r>
      <rPr>
        <sz val="11"/>
        <color theme="1"/>
        <rFont val="ＭＳ Ｐゴシック"/>
        <family val="3"/>
        <charset val="134"/>
        <scheme val="minor"/>
      </rPr>
      <t>实业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</si>
  <si>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果酒; 白酒; 蜂蜜酒; 威士忌; 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</si>
  <si>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云南傣爽食品有限公司</t>
  </si>
  <si>
    <r>
      <t>米酒;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含酒精的气泡水;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果酒; 黄酒</t>
    </r>
  </si>
  <si>
    <r>
      <t>遂</t>
    </r>
    <r>
      <rPr>
        <sz val="11"/>
        <color theme="1"/>
        <rFont val="ＭＳ Ｐゴシック"/>
        <family val="3"/>
        <charset val="134"/>
        <scheme val="minor"/>
      </rPr>
      <t>绿</t>
    </r>
  </si>
  <si>
    <r>
      <t>江西遂</t>
    </r>
    <r>
      <rPr>
        <sz val="11"/>
        <color theme="1"/>
        <rFont val="ＭＳ Ｐゴシック"/>
        <family val="3"/>
        <charset val="134"/>
        <scheme val="minor"/>
      </rPr>
      <t>绿</t>
    </r>
    <r>
      <rPr>
        <sz val="11"/>
        <color theme="1"/>
        <rFont val="ＭＳ Ｐゴシック"/>
        <family val="3"/>
        <charset val="128"/>
        <scheme val="minor"/>
      </rPr>
      <t>林</t>
    </r>
    <r>
      <rPr>
        <sz val="11"/>
        <color theme="1"/>
        <rFont val="ＭＳ Ｐゴシック"/>
        <family val="3"/>
        <charset val="134"/>
        <scheme val="minor"/>
      </rPr>
      <t>业发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</si>
  <si>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食用酒精; 白酒; 高粱酒; 果酒; 米酒; 甜酒;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</t>
    </r>
  </si>
  <si>
    <r>
      <t>众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众</t>
    </r>
    <r>
      <rPr>
        <sz val="11"/>
        <color theme="1"/>
        <rFont val="ＭＳ Ｐゴシック"/>
        <family val="3"/>
        <charset val="134"/>
        <scheme val="minor"/>
      </rPr>
      <t>乐</t>
    </r>
    <r>
      <rPr>
        <sz val="11"/>
        <color theme="1"/>
        <rFont val="ＭＳ Ｐゴシック"/>
        <family val="3"/>
        <charset val="128"/>
        <scheme val="minor"/>
      </rPr>
      <t>基</t>
    </r>
  </si>
  <si>
    <r>
      <t>李</t>
    </r>
    <r>
      <rPr>
        <sz val="11"/>
        <color theme="1"/>
        <rFont val="ＭＳ Ｐゴシック"/>
        <family val="3"/>
        <charset val="134"/>
        <scheme val="minor"/>
      </rPr>
      <t>硕</t>
    </r>
  </si>
  <si>
    <r>
      <t>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白干酒（中国白酒）; 高粱酒; 葡萄酒; 果酒</t>
    </r>
  </si>
  <si>
    <r>
      <t>库</t>
    </r>
    <r>
      <rPr>
        <sz val="11"/>
        <color theme="1"/>
        <rFont val="ＭＳ Ｐゴシック"/>
        <family val="3"/>
        <charset val="128"/>
        <scheme val="minor"/>
      </rPr>
      <t>美莱</t>
    </r>
  </si>
  <si>
    <r>
      <t>刘</t>
    </r>
    <r>
      <rPr>
        <sz val="11"/>
        <color theme="1"/>
        <rFont val="ＭＳ Ｐゴシック"/>
        <family val="3"/>
        <charset val="129"/>
        <scheme val="minor"/>
      </rPr>
      <t>洁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</si>
  <si>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白酒;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</si>
  <si>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高修申</t>
  </si>
  <si>
    <r>
      <t>北京曾子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品牌管理有限公司</t>
    </r>
  </si>
  <si>
    <r>
      <t xml:space="preserve">米酒; 果酒;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苹果酒; 黄酒; 白酒; 青稞酒</t>
    </r>
  </si>
  <si>
    <t>SUDU</t>
  </si>
  <si>
    <r>
      <t>深圳市鑫生</t>
    </r>
    <r>
      <rPr>
        <sz val="11"/>
        <color theme="1"/>
        <rFont val="ＭＳ Ｐゴシック"/>
        <family val="3"/>
        <charset val="134"/>
        <scheme val="minor"/>
      </rPr>
      <t>电</t>
    </r>
    <r>
      <rPr>
        <sz val="11"/>
        <color theme="1"/>
        <rFont val="ＭＳ Ｐゴシック"/>
        <family val="3"/>
        <charset val="128"/>
        <scheme val="minor"/>
      </rPr>
      <t>子有限公司</t>
    </r>
  </si>
  <si>
    <r>
      <t>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>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白酒; 威士忌; 高粱酒;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</si>
  <si>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市永达酒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</si>
  <si>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果酒; 黄酒; 高粱酒; 烈酒;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米酒;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</t>
    </r>
  </si>
  <si>
    <r>
      <t>蛮</t>
    </r>
    <r>
      <rPr>
        <sz val="11"/>
        <color theme="1"/>
        <rFont val="ＭＳ Ｐゴシック"/>
        <family val="3"/>
        <charset val="129"/>
        <scheme val="minor"/>
      </rPr>
      <t>妞</t>
    </r>
  </si>
  <si>
    <r>
      <t>朝阳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新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永</t>
    </r>
    <r>
      <rPr>
        <sz val="11"/>
        <color theme="1"/>
        <rFont val="ＭＳ Ｐゴシック"/>
        <family val="3"/>
        <charset val="134"/>
        <scheme val="minor"/>
      </rPr>
      <t>业电</t>
    </r>
    <r>
      <rPr>
        <sz val="11"/>
        <color theme="1"/>
        <rFont val="ＭＳ Ｐゴシック"/>
        <family val="3"/>
        <charset val="128"/>
        <scheme val="minor"/>
      </rPr>
      <t>子商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</si>
  <si>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蒸煮提取物（利口酒和烈酒）; 果酒（含酒精）;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米酒; 食用酒精</t>
    </r>
  </si>
  <si>
    <r>
      <t>健</t>
    </r>
    <r>
      <rPr>
        <sz val="11"/>
        <color theme="1"/>
        <rFont val="ＭＳ Ｐゴシック"/>
        <family val="3"/>
        <charset val="134"/>
        <scheme val="minor"/>
      </rPr>
      <t>硕</t>
    </r>
    <r>
      <rPr>
        <sz val="11"/>
        <color theme="1"/>
        <rFont val="ＭＳ Ｐゴシック"/>
        <family val="3"/>
        <charset val="128"/>
        <scheme val="minor"/>
      </rPr>
      <t>者达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</si>
  <si>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州都舍民族生</t>
    </r>
    <r>
      <rPr>
        <sz val="11"/>
        <color theme="1"/>
        <rFont val="ＭＳ Ｐゴシック"/>
        <family val="3"/>
        <charset val="134"/>
        <scheme val="minor"/>
      </rPr>
      <t>态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</si>
  <si>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果酒（含酒精）; 葡萄酒; 米酒; 青稞酒;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餐后酒（利口酒和烈酒）;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</si>
  <si>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伊甸映</t>
  </si>
  <si>
    <t>李南山</t>
  </si>
  <si>
    <r>
      <t xml:space="preserve">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杜松子酒; 烈酒;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果酒; 黄酒; 苦味酒</t>
    </r>
  </si>
  <si>
    <t>位光明</t>
  </si>
  <si>
    <r>
      <t xml:space="preserve">果酒（含酒精）; 黄酒; 葡萄酒; 米酒; 餐后酒（利口酒和烈酒）;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青稞酒; 白酒</t>
    </r>
  </si>
  <si>
    <t>天香琴</t>
  </si>
  <si>
    <r>
      <t>重</t>
    </r>
    <r>
      <rPr>
        <sz val="11"/>
        <color theme="1"/>
        <rFont val="ＭＳ Ｐゴシック"/>
        <family val="3"/>
        <charset val="134"/>
        <scheme val="minor"/>
      </rPr>
      <t>庆</t>
    </r>
    <r>
      <rPr>
        <sz val="11"/>
        <color theme="1"/>
        <rFont val="ＭＳ Ｐゴシック"/>
        <family val="3"/>
        <charset val="128"/>
        <scheme val="minor"/>
      </rPr>
      <t>善</t>
    </r>
    <r>
      <rPr>
        <sz val="11"/>
        <color theme="1"/>
        <rFont val="ＭＳ Ｐゴシック"/>
        <family val="3"/>
        <charset val="134"/>
        <scheme val="minor"/>
      </rPr>
      <t>设</t>
    </r>
    <r>
      <rPr>
        <sz val="11"/>
        <color theme="1"/>
        <rFont val="ＭＳ Ｐゴシック"/>
        <family val="3"/>
        <charset val="128"/>
        <scheme val="minor"/>
      </rPr>
      <t>文化</t>
    </r>
    <r>
      <rPr>
        <sz val="11"/>
        <color theme="1"/>
        <rFont val="ＭＳ Ｐゴシック"/>
        <family val="3"/>
        <charset val="134"/>
        <scheme val="minor"/>
      </rPr>
      <t>创</t>
    </r>
    <r>
      <rPr>
        <sz val="11"/>
        <color theme="1"/>
        <rFont val="ＭＳ Ｐゴシック"/>
        <family val="3"/>
        <charset val="128"/>
        <scheme val="minor"/>
      </rPr>
      <t>意有限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</si>
  <si>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 xml:space="preserve">白酒; 葡萄酒; 黄酒; 清酒; 烈酒;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露酒;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果酒（含酒精）</t>
    </r>
  </si>
  <si>
    <r>
      <t>雁</t>
    </r>
    <r>
      <rPr>
        <sz val="11"/>
        <color theme="1"/>
        <rFont val="ＭＳ Ｐゴシック"/>
        <family val="3"/>
        <charset val="134"/>
        <scheme val="minor"/>
      </rPr>
      <t>齐飞</t>
    </r>
  </si>
  <si>
    <r>
      <t>铜</t>
    </r>
    <r>
      <rPr>
        <sz val="11"/>
        <color theme="1"/>
        <rFont val="ＭＳ Ｐゴシック"/>
        <family val="3"/>
        <charset val="128"/>
        <scheme val="minor"/>
      </rPr>
      <t>仁</t>
    </r>
    <r>
      <rPr>
        <sz val="11"/>
        <color theme="1"/>
        <rFont val="ＭＳ Ｐゴシック"/>
        <family val="3"/>
        <charset val="134"/>
        <scheme val="minor"/>
      </rPr>
      <t>诚兴</t>
    </r>
    <r>
      <rPr>
        <sz val="11"/>
        <color theme="1"/>
        <rFont val="ＭＳ Ｐゴシック"/>
        <family val="3"/>
        <charset val="128"/>
        <scheme val="minor"/>
      </rPr>
      <t>晟食品商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</si>
  <si>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烈酒; 米酒; 汽酒; 黄酒; 白酒;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果酒; 高粱酒</t>
    </r>
  </si>
  <si>
    <t>小健有醉</t>
  </si>
  <si>
    <r>
      <t>白酒; 果酒（含酒精）;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青稞酒;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餐后酒（利口酒和烈酒）; 葡萄酒; 黄酒</t>
    </r>
  </si>
  <si>
    <t>虞山仲雍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</si>
  <si>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州老吴公酒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</si>
  <si>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白酒; 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开胃酒;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米酒;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蒸煮提取物（利口酒和烈酒）; 烈酒; 蜂蜜酒</t>
    </r>
  </si>
  <si>
    <t>花礼熊猫</t>
  </si>
  <si>
    <r>
      <t>成都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礼科技有限公司</t>
    </r>
  </si>
  <si>
    <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黄酒</t>
    </r>
  </si>
  <si>
    <t>山者成</t>
  </si>
  <si>
    <r>
      <t>成都酒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</si>
  <si>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青稞酒; 果酒; 甜酒; 梅酒; 葡萄酒; 米酒; 白酒; 甜果酒; 开胃酒</t>
    </r>
  </si>
  <si>
    <r>
      <t>怀</t>
    </r>
    <r>
      <rPr>
        <sz val="11"/>
        <color theme="1"/>
        <rFont val="ＭＳ Ｐゴシック"/>
        <family val="3"/>
        <charset val="128"/>
        <scheme val="minor"/>
      </rPr>
      <t>小黑</t>
    </r>
  </si>
  <si>
    <r>
      <t>商丘弘芝林商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</si>
  <si>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威士忌; 米酒;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梅酒; 伏特加酒;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果酒; 露酒; 白酒</t>
    </r>
  </si>
  <si>
    <r>
      <t>京府</t>
    </r>
    <r>
      <rPr>
        <sz val="11"/>
        <color theme="1"/>
        <rFont val="ＭＳ Ｐゴシック"/>
        <family val="3"/>
        <charset val="134"/>
        <scheme val="minor"/>
      </rPr>
      <t>锦</t>
    </r>
  </si>
  <si>
    <r>
      <t>胡</t>
    </r>
    <r>
      <rPr>
        <sz val="11"/>
        <color theme="1"/>
        <rFont val="ＭＳ Ｐゴシック"/>
        <family val="3"/>
        <charset val="134"/>
        <scheme val="minor"/>
      </rPr>
      <t>拥军</t>
    </r>
  </si>
  <si>
    <r>
      <t>黄酒;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食用酒精; 威士忌; 米酒; 开胃酒;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</si>
  <si>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OUHEY</t>
  </si>
  <si>
    <t>徐杰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</si>
  <si>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米酒; 白酒; 果酒（含酒精）</t>
    </r>
  </si>
  <si>
    <t>拾相宜</t>
  </si>
  <si>
    <r>
      <t>杨</t>
    </r>
    <r>
      <rPr>
        <sz val="11"/>
        <color theme="1"/>
        <rFont val="ＭＳ Ｐゴシック"/>
        <family val="3"/>
        <charset val="128"/>
        <scheme val="minor"/>
      </rPr>
      <t>德南</t>
    </r>
  </si>
  <si>
    <r>
      <t xml:space="preserve">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葡萄酒; 白酒; 利口酒; 清酒（日本米酒）;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果酒（含酒精）; 蜂蜜酒</t>
    </r>
  </si>
  <si>
    <t>村 BA</t>
  </si>
  <si>
    <r>
      <t>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高粱酒; 果酒; 葡萄酒; 米酒; 利口酒;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酒（烈酒）;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</si>
  <si>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町小粮</t>
  </si>
  <si>
    <r>
      <t>依</t>
    </r>
    <r>
      <rPr>
        <sz val="11"/>
        <color theme="1"/>
        <rFont val="ＭＳ Ｐゴシック"/>
        <family val="3"/>
        <charset val="134"/>
        <scheme val="minor"/>
      </rPr>
      <t>诗诺</t>
    </r>
    <r>
      <rPr>
        <sz val="11"/>
        <color theme="1"/>
        <rFont val="ＭＳ Ｐゴシック"/>
        <family val="3"/>
        <charset val="128"/>
        <scheme val="minor"/>
      </rPr>
      <t>（秦皇</t>
    </r>
    <r>
      <rPr>
        <sz val="11"/>
        <color theme="1"/>
        <rFont val="ＭＳ Ｐゴシック"/>
        <family val="3"/>
        <charset val="134"/>
        <scheme val="minor"/>
      </rPr>
      <t>岛</t>
    </r>
    <r>
      <rPr>
        <sz val="11"/>
        <color theme="1"/>
        <rFont val="ＭＳ Ｐゴシック"/>
        <family val="3"/>
        <charset val="128"/>
        <scheme val="minor"/>
      </rPr>
      <t>）供</t>
    </r>
    <r>
      <rPr>
        <sz val="11"/>
        <color theme="1"/>
        <rFont val="ＭＳ Ｐゴシック"/>
        <family val="3"/>
        <charset val="134"/>
        <scheme val="minor"/>
      </rPr>
      <t>应链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</si>
  <si>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伏特加酒;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米酒; 果酒（含酒精）; 葡萄酒; 利口酒; 清酒（日本米酒）</t>
    </r>
  </si>
  <si>
    <t>迎弓</t>
  </si>
  <si>
    <r>
      <t>杨义</t>
    </r>
    <r>
      <rPr>
        <sz val="11"/>
        <color theme="1"/>
        <rFont val="ＭＳ Ｐゴシック"/>
        <family val="3"/>
        <charset val="128"/>
        <scheme val="minor"/>
      </rPr>
      <t>民</t>
    </r>
  </si>
  <si>
    <r>
      <t xml:space="preserve">葡萄酒; 清酒; 高粱酒;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烈酒; 食用酒精; 白酒; 果酒（含酒精）;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</t>
    </r>
  </si>
  <si>
    <r>
      <t>鲲</t>
    </r>
    <r>
      <rPr>
        <sz val="11"/>
        <color theme="1"/>
        <rFont val="ＭＳ Ｐゴシック"/>
        <family val="3"/>
        <charset val="128"/>
        <scheme val="minor"/>
      </rPr>
      <t>仕</t>
    </r>
  </si>
  <si>
    <r>
      <t>文</t>
    </r>
    <r>
      <rPr>
        <sz val="11"/>
        <color theme="1"/>
        <rFont val="ＭＳ Ｐゴシック"/>
        <family val="3"/>
        <charset val="134"/>
        <scheme val="minor"/>
      </rPr>
      <t>军华</t>
    </r>
  </si>
  <si>
    <r>
      <t xml:space="preserve">烈酒; 葡萄酒; 黄酒;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果酒（含酒精）; 威士忌; 清酒（日本米酒）</t>
    </r>
  </si>
  <si>
    <r>
      <t>仪</t>
    </r>
    <r>
      <rPr>
        <sz val="11"/>
        <color theme="1"/>
        <rFont val="ＭＳ Ｐゴシック"/>
        <family val="3"/>
        <charset val="128"/>
        <scheme val="minor"/>
      </rPr>
      <t>渡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坊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</si>
  <si>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市大宋坊酒</t>
    </r>
    <r>
      <rPr>
        <sz val="11"/>
        <color theme="1"/>
        <rFont val="ＭＳ Ｐゴシック"/>
        <family val="3"/>
        <charset val="134"/>
        <scheme val="minor"/>
      </rPr>
      <t>业销</t>
    </r>
    <r>
      <rPr>
        <sz val="11"/>
        <color theme="1"/>
        <rFont val="ＭＳ Ｐゴシック"/>
        <family val="3"/>
        <charset val="128"/>
        <scheme val="minor"/>
      </rPr>
      <t>售有限公司</t>
    </r>
  </si>
  <si>
    <r>
      <t>果酒（含酒精）;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威士忌; 米酒; 白酒; 薄荷酒;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黄酒</t>
    </r>
  </si>
  <si>
    <r>
      <t>九洲</t>
    </r>
    <r>
      <rPr>
        <sz val="11"/>
        <color theme="1"/>
        <rFont val="ＭＳ Ｐゴシック"/>
        <family val="3"/>
        <charset val="134"/>
        <scheme val="minor"/>
      </rPr>
      <t>纪</t>
    </r>
  </si>
  <si>
    <r>
      <t>苏</t>
    </r>
    <r>
      <rPr>
        <sz val="11"/>
        <color theme="1"/>
        <rFont val="ＭＳ Ｐゴシック"/>
        <family val="3"/>
        <charset val="128"/>
        <scheme val="minor"/>
      </rPr>
      <t>学英</t>
    </r>
  </si>
  <si>
    <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蜂蜜酒;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葡萄酒; 白酒;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清酒（日本米酒）</t>
    </r>
  </si>
  <si>
    <r>
      <t>临</t>
    </r>
    <r>
      <rPr>
        <sz val="11"/>
        <color theme="1"/>
        <rFont val="ＭＳ Ｐゴシック"/>
        <family val="3"/>
        <charset val="128"/>
        <scheme val="minor"/>
      </rPr>
      <t>沂奥体投</t>
    </r>
    <r>
      <rPr>
        <sz val="11"/>
        <color theme="1"/>
        <rFont val="ＭＳ Ｐゴシック"/>
        <family val="3"/>
        <charset val="134"/>
        <scheme val="minor"/>
      </rPr>
      <t>资发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</si>
  <si>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 xml:space="preserve">果酒（含酒精）; 葡萄酒; 米酒; 食用酒精; 青稞酒;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开胃酒</t>
    </r>
  </si>
  <si>
    <t>北朝磁州</t>
  </si>
  <si>
    <r>
      <t>魏俊</t>
    </r>
    <r>
      <rPr>
        <sz val="11"/>
        <color theme="1"/>
        <rFont val="ＭＳ Ｐゴシック"/>
        <family val="3"/>
        <charset val="129"/>
        <scheme val="minor"/>
      </rPr>
      <t>强</t>
    </r>
  </si>
  <si>
    <r>
      <t>葡萄酒;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利口酒; 蒸煮提取物（利口酒和烈酒）; 食用酒精; 白酒; 开胃酒</t>
    </r>
  </si>
  <si>
    <t>芸黄</t>
  </si>
  <si>
    <r>
      <t>深圳市景升酒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</si>
  <si>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威士忌; 清酒（日本米酒）;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青稞酒; 汽酒; 白酒</t>
    </r>
  </si>
  <si>
    <r>
      <t>九</t>
    </r>
    <r>
      <rPr>
        <sz val="11"/>
        <color theme="1"/>
        <rFont val="ＭＳ Ｐゴシック"/>
        <family val="3"/>
        <charset val="134"/>
        <scheme val="minor"/>
      </rPr>
      <t>观</t>
    </r>
    <r>
      <rPr>
        <sz val="11"/>
        <color theme="1"/>
        <rFont val="ＭＳ Ｐゴシック"/>
        <family val="3"/>
        <charset val="128"/>
        <scheme val="minor"/>
      </rPr>
      <t>久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</si>
  <si>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州九</t>
    </r>
    <r>
      <rPr>
        <sz val="11"/>
        <color theme="1"/>
        <rFont val="ＭＳ Ｐゴシック"/>
        <family val="3"/>
        <charset val="134"/>
        <scheme val="minor"/>
      </rPr>
      <t>观贸</t>
    </r>
    <r>
      <rPr>
        <sz val="11"/>
        <color theme="1"/>
        <rFont val="ＭＳ Ｐゴシック"/>
        <family val="3"/>
        <charset val="128"/>
        <scheme val="minor"/>
      </rPr>
      <t>易有限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</si>
  <si>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朗姆酒（酒精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白酒;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烈酒; 甜果酒</t>
    </r>
  </si>
  <si>
    <t>舜帝神</t>
  </si>
  <si>
    <r>
      <t>永州</t>
    </r>
    <r>
      <rPr>
        <sz val="11"/>
        <color theme="1"/>
        <rFont val="ＭＳ Ｐゴシック"/>
        <family val="3"/>
        <charset val="134"/>
        <scheme val="minor"/>
      </rPr>
      <t>陈</t>
    </r>
    <r>
      <rPr>
        <sz val="11"/>
        <color theme="1"/>
        <rFont val="ＭＳ Ｐゴシック"/>
        <family val="3"/>
        <charset val="128"/>
        <scheme val="minor"/>
      </rPr>
      <t>胡公酒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</si>
  <si>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 xml:space="preserve">白酒;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葡萄酒; 甜酒;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高粱酒</t>
    </r>
  </si>
  <si>
    <t>老明光</t>
  </si>
  <si>
    <r>
      <t>安徽明光酒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</si>
  <si>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食用酒精; 清酒; 白酒;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</si>
  <si>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功</t>
    </r>
    <r>
      <rPr>
        <sz val="11"/>
        <color theme="1"/>
        <rFont val="ＭＳ Ｐゴシック"/>
        <family val="3"/>
        <charset val="134"/>
        <scheme val="minor"/>
      </rPr>
      <t>门</t>
    </r>
  </si>
  <si>
    <r>
      <t xml:space="preserve">黄酒; 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高粱酒;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食用酒精; 白酒; 果酒（含酒精）; 清酒</t>
    </r>
  </si>
  <si>
    <t>羊娃子</t>
  </si>
  <si>
    <t>胡国新</t>
  </si>
  <si>
    <r>
      <t>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食用酒精;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甜果酒; 葡萄酒</t>
    </r>
  </si>
  <si>
    <t>醉水河</t>
  </si>
  <si>
    <t>袁玉林</t>
  </si>
  <si>
    <r>
      <t xml:space="preserve">黄酒; 葡萄酒; 开胃酒;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清酒（日本米酒）; 蜂蜜酒</t>
    </r>
  </si>
  <si>
    <r>
      <t>楚</t>
    </r>
    <r>
      <rPr>
        <sz val="11"/>
        <color theme="1"/>
        <rFont val="ＭＳ Ｐゴシック"/>
        <family val="3"/>
        <charset val="134"/>
        <scheme val="minor"/>
      </rPr>
      <t>轩</t>
    </r>
    <r>
      <rPr>
        <sz val="11"/>
        <color theme="1"/>
        <rFont val="ＭＳ Ｐゴシック"/>
        <family val="3"/>
        <charset val="128"/>
        <scheme val="minor"/>
      </rPr>
      <t>歌</t>
    </r>
  </si>
  <si>
    <r>
      <t>楚夏商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（武</t>
    </r>
    <r>
      <rPr>
        <sz val="11"/>
        <color theme="1"/>
        <rFont val="ＭＳ Ｐゴシック"/>
        <family val="3"/>
        <charset val="134"/>
        <scheme val="minor"/>
      </rPr>
      <t>汉</t>
    </r>
    <r>
      <rPr>
        <sz val="11"/>
        <color theme="1"/>
        <rFont val="ＭＳ Ｐゴシック"/>
        <family val="3"/>
        <charset val="128"/>
        <scheme val="minor"/>
      </rPr>
      <t>）有限公司</t>
    </r>
  </si>
  <si>
    <r>
      <t>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葡萄酒; 威士忌; 米酒; 伏特加酒</t>
    </r>
  </si>
  <si>
    <t>升藏窖酒</t>
  </si>
  <si>
    <r>
      <t>张</t>
    </r>
    <r>
      <rPr>
        <sz val="11"/>
        <color theme="1"/>
        <rFont val="ＭＳ Ｐゴシック"/>
        <family val="3"/>
        <charset val="128"/>
        <scheme val="minor"/>
      </rPr>
      <t>小</t>
    </r>
    <r>
      <rPr>
        <sz val="11"/>
        <color theme="1"/>
        <rFont val="ＭＳ Ｐゴシック"/>
        <family val="3"/>
        <charset val="134"/>
        <scheme val="minor"/>
      </rPr>
      <t>华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</si>
  <si>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开胃酒; 白酒; 利口酒; 米酒</t>
    </r>
  </si>
  <si>
    <t>HENFOURDS</t>
  </si>
  <si>
    <r>
      <t>亨富（天津）国</t>
    </r>
    <r>
      <rPr>
        <sz val="11"/>
        <color theme="1"/>
        <rFont val="ＭＳ Ｐゴシック"/>
        <family val="3"/>
        <charset val="134"/>
        <scheme val="minor"/>
      </rPr>
      <t>际贸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</si>
  <si>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</si>
  <si>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紫晶凌</t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</si>
  <si>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蒸煮提取物（利口酒和烈酒）;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食用酒精; 白酒; 米酒; 葡萄酒; 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</si>
  <si>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楚</t>
    </r>
    <r>
      <rPr>
        <sz val="11"/>
        <color theme="1"/>
        <rFont val="ＭＳ Ｐゴシック"/>
        <family val="3"/>
        <charset val="134"/>
        <scheme val="minor"/>
      </rPr>
      <t>义</t>
    </r>
    <r>
      <rPr>
        <sz val="11"/>
        <color theme="1"/>
        <rFont val="ＭＳ Ｐゴシック"/>
        <family val="3"/>
        <charset val="128"/>
        <scheme val="minor"/>
      </rPr>
      <t>坊</t>
    </r>
  </si>
  <si>
    <r>
      <t xml:space="preserve">伏特加酒;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果酒（含酒精）; 开胃酒; 葡萄酒; 米酒; 白酒</t>
    </r>
  </si>
  <si>
    <t>中昔</t>
  </si>
  <si>
    <r>
      <t>遵</t>
    </r>
    <r>
      <rPr>
        <sz val="11"/>
        <color theme="1"/>
        <rFont val="ＭＳ Ｐゴシック"/>
        <family val="3"/>
        <charset val="134"/>
        <scheme val="minor"/>
      </rPr>
      <t>义</t>
    </r>
    <r>
      <rPr>
        <sz val="11"/>
        <color theme="1"/>
        <rFont val="ＭＳ Ｐゴシック"/>
        <family val="3"/>
        <charset val="128"/>
        <scheme val="minor"/>
      </rPr>
      <t>市遵豪酒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</si>
  <si>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白干酒（中国白酒）;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的白酒; 黄酒; 白酒;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蒸煮提取物（利口酒和烈酒）;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主的开胃酒;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</si>
  <si>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t>孔繁琪粮鑫</t>
  </si>
  <si>
    <r>
      <t>佳木斯市</t>
    </r>
    <r>
      <rPr>
        <sz val="11"/>
        <color theme="1"/>
        <rFont val="ＭＳ Ｐゴシック"/>
        <family val="3"/>
        <charset val="134"/>
        <scheme val="minor"/>
      </rPr>
      <t>顺鸿</t>
    </r>
    <r>
      <rPr>
        <sz val="11"/>
        <color theme="1"/>
        <rFont val="ＭＳ Ｐゴシック"/>
        <family val="3"/>
        <charset val="128"/>
        <scheme val="minor"/>
      </rPr>
      <t>鑫酒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</si>
  <si>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米酒; 黄酒; 开胃酒; 蜂蜜酒;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</t>
    </r>
  </si>
  <si>
    <r>
      <t>梅之</t>
    </r>
    <r>
      <rPr>
        <sz val="11"/>
        <color theme="1"/>
        <rFont val="ＭＳ Ｐゴシック"/>
        <family val="3"/>
        <charset val="134"/>
        <scheme val="minor"/>
      </rPr>
      <t>铺</t>
    </r>
  </si>
  <si>
    <r>
      <t>苏</t>
    </r>
    <r>
      <rPr>
        <sz val="11"/>
        <color theme="1"/>
        <rFont val="ＭＳ Ｐゴシック"/>
        <family val="3"/>
        <charset val="128"/>
        <scheme val="minor"/>
      </rPr>
      <t>州容延堂保健品有限公司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</si>
  <si>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含酒精的气泡水; 清酒（日本米酒）;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葡萄酒;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</si>
  <si>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穆夫子</t>
  </si>
  <si>
    <r>
      <t>开胃酒;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食用酒精; 黄酒; 利口酒;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清酒（日本米酒）</t>
    </r>
  </si>
  <si>
    <t>钉选</t>
  </si>
  <si>
    <r>
      <t>杭州穗谷物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</si>
  <si>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伏特加酒;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青稞酒; 食用酒精; 黄酒; 白酒</t>
    </r>
  </si>
  <si>
    <t>禾家大事</t>
  </si>
  <si>
    <t>吴素梅</t>
  </si>
  <si>
    <r>
      <t>葡萄酒; 白酒;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蜂蜜酒;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</si>
  <si>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巴蜀</t>
    </r>
    <r>
      <rPr>
        <sz val="11"/>
        <color theme="1"/>
        <rFont val="ＭＳ Ｐゴシック"/>
        <family val="3"/>
        <charset val="134"/>
        <scheme val="minor"/>
      </rPr>
      <t>忆</t>
    </r>
    <r>
      <rPr>
        <sz val="11"/>
        <color theme="1"/>
        <rFont val="ＭＳ Ｐゴシック"/>
        <family val="3"/>
        <charset val="128"/>
        <scheme val="minor"/>
      </rPr>
      <t>香醉</t>
    </r>
  </si>
  <si>
    <r>
      <t>泸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34"/>
        <scheme val="minor"/>
      </rPr>
      <t>忆</t>
    </r>
    <r>
      <rPr>
        <sz val="11"/>
        <color theme="1"/>
        <rFont val="ＭＳ Ｐゴシック"/>
        <family val="3"/>
        <charset val="128"/>
        <scheme val="minor"/>
      </rPr>
      <t>香醉酒</t>
    </r>
    <r>
      <rPr>
        <sz val="11"/>
        <color theme="1"/>
        <rFont val="ＭＳ Ｐゴシック"/>
        <family val="3"/>
        <charset val="134"/>
        <scheme val="minor"/>
      </rPr>
      <t>类销</t>
    </r>
    <r>
      <rPr>
        <sz val="11"/>
        <color theme="1"/>
        <rFont val="ＭＳ Ｐゴシック"/>
        <family val="3"/>
        <charset val="128"/>
        <scheme val="minor"/>
      </rPr>
      <t>售有限公司</t>
    </r>
  </si>
  <si>
    <r>
      <t>米酒;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</si>
  <si>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苏</t>
    </r>
    <r>
      <rPr>
        <sz val="11"/>
        <color theme="1"/>
        <rFont val="ＭＳ Ｐゴシック"/>
        <family val="3"/>
        <charset val="128"/>
        <scheme val="minor"/>
      </rPr>
      <t>德克</t>
    </r>
  </si>
  <si>
    <r>
      <t>广州</t>
    </r>
    <r>
      <rPr>
        <sz val="11"/>
        <color theme="1"/>
        <rFont val="ＭＳ Ｐゴシック"/>
        <family val="3"/>
        <charset val="134"/>
        <scheme val="minor"/>
      </rPr>
      <t>苏</t>
    </r>
    <r>
      <rPr>
        <sz val="11"/>
        <color theme="1"/>
        <rFont val="ＭＳ Ｐゴシック"/>
        <family val="3"/>
        <charset val="128"/>
        <scheme val="minor"/>
      </rPr>
      <t>德克科技有限公司</t>
    </r>
  </si>
  <si>
    <r>
      <t xml:space="preserve">白酒;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苹果酒; 开胃酒; 汽酒; 果酒（含酒精）; 利口酒</t>
    </r>
  </si>
  <si>
    <r>
      <t>凤</t>
    </r>
    <r>
      <rPr>
        <sz val="11"/>
        <color theme="1"/>
        <rFont val="ＭＳ Ｐゴシック"/>
        <family val="3"/>
        <charset val="128"/>
        <scheme val="minor"/>
      </rPr>
      <t>渊</t>
    </r>
  </si>
  <si>
    <r>
      <t>禄</t>
    </r>
    <r>
      <rPr>
        <sz val="11"/>
        <color theme="1"/>
        <rFont val="ＭＳ Ｐゴシック"/>
        <family val="3"/>
        <charset val="134"/>
        <scheme val="minor"/>
      </rPr>
      <t>劝</t>
    </r>
    <r>
      <rPr>
        <sz val="11"/>
        <color theme="1"/>
        <rFont val="ＭＳ Ｐゴシック"/>
        <family val="3"/>
        <charset val="128"/>
        <scheme val="minor"/>
      </rPr>
      <t>合盛商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</si>
  <si>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苹果酒; 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蜂蜜酒; 葡萄酒; 食用酒精; 米酒;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</si>
  <si>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旦角人生</t>
  </si>
  <si>
    <r>
      <t>白酒; 食用酒精; 米酒; 苹果酒;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蜂蜜酒; 汽酒</t>
    </r>
  </si>
  <si>
    <r>
      <t>愫</t>
    </r>
    <r>
      <rPr>
        <sz val="11"/>
        <color theme="1"/>
        <rFont val="ＭＳ Ｐゴシック"/>
        <family val="3"/>
        <charset val="134"/>
        <scheme val="minor"/>
      </rPr>
      <t>阅</t>
    </r>
  </si>
  <si>
    <r>
      <t>上海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花醉酒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</si>
  <si>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开胃酒; 蜂蜜酒; 青稞酒; 白酒; 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</t>
    </r>
  </si>
  <si>
    <r>
      <t>沃克大</t>
    </r>
    <r>
      <rPr>
        <sz val="11"/>
        <color theme="1"/>
        <rFont val="ＭＳ Ｐゴシック"/>
        <family val="3"/>
        <charset val="134"/>
        <scheme val="minor"/>
      </rPr>
      <t>师</t>
    </r>
  </si>
  <si>
    <r>
      <t>上海道正</t>
    </r>
    <r>
      <rPr>
        <sz val="11"/>
        <color theme="1"/>
        <rFont val="ＭＳ Ｐゴシック"/>
        <family val="3"/>
        <charset val="134"/>
        <scheme val="minor"/>
      </rPr>
      <t>联</t>
    </r>
    <r>
      <rPr>
        <sz val="11"/>
        <color theme="1"/>
        <rFont val="ＭＳ Ｐゴシック"/>
        <family val="3"/>
        <charset val="128"/>
        <scheme val="minor"/>
      </rPr>
      <t>和</t>
    </r>
    <r>
      <rPr>
        <sz val="11"/>
        <color theme="1"/>
        <rFont val="ＭＳ Ｐゴシック"/>
        <family val="3"/>
        <charset val="134"/>
        <scheme val="minor"/>
      </rPr>
      <t>进</t>
    </r>
    <r>
      <rPr>
        <sz val="11"/>
        <color theme="1"/>
        <rFont val="ＭＳ Ｐゴシック"/>
        <family val="3"/>
        <charset val="128"/>
        <scheme val="minor"/>
      </rPr>
      <t>出口有限公司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</si>
  <si>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利口酒; 白酒;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开胃酒; 葡萄酒; 蒸煮提取物（利口酒和烈酒）; 果酒（含酒精）; 米酒</t>
    </r>
  </si>
  <si>
    <r>
      <t>倴</t>
    </r>
    <r>
      <rPr>
        <sz val="11"/>
        <color theme="1"/>
        <rFont val="ＭＳ Ｐゴシック"/>
        <family val="3"/>
        <charset val="128"/>
        <scheme val="minor"/>
      </rPr>
      <t>澳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</si>
  <si>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果酒; 蒸煮提取物（利口酒和烈酒）; 葡萄酒; 米酒; 食用酒精;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</si>
  <si>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嘉妤阳昇</t>
  </si>
  <si>
    <t>黄柯嘉</t>
  </si>
  <si>
    <r>
      <t xml:space="preserve">苦艾酒; 白酒; 葡萄酒; 开胃酒;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果酒; 露酒;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蒸煮提取物（利口酒和烈酒）</t>
    </r>
  </si>
  <si>
    <t>ZHANG YUAN YONG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</si>
  <si>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市恒通供</t>
    </r>
    <r>
      <rPr>
        <sz val="11"/>
        <color theme="1"/>
        <rFont val="ＭＳ Ｐゴシック"/>
        <family val="3"/>
        <charset val="134"/>
        <scheme val="minor"/>
      </rPr>
      <t>应链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</si>
  <si>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白酒; 果酒（含酒精）;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露酒;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米酒（泡盛酒）;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以蒸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主的开胃酒;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白干酒（中国白酒）;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</t>
    </r>
  </si>
  <si>
    <t>维尔远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</si>
  <si>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市邦首酒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</si>
  <si>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白干酒（中国白酒）;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白酒; 高粱酒;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食用酒精</t>
    </r>
  </si>
  <si>
    <r>
      <t>杭州章</t>
    </r>
    <r>
      <rPr>
        <sz val="11"/>
        <color theme="1"/>
        <rFont val="ＭＳ Ｐゴシック"/>
        <family val="3"/>
        <charset val="134"/>
        <scheme val="minor"/>
      </rPr>
      <t>跃实业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</si>
  <si>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葡萄酒; 白酒; 果酒（含酒精）</t>
    </r>
  </si>
  <si>
    <r>
      <t>早安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回</t>
    </r>
  </si>
  <si>
    <r>
      <t>国科文</t>
    </r>
    <r>
      <rPr>
        <sz val="11"/>
        <color theme="1"/>
        <rFont val="ＭＳ Ｐゴシック"/>
        <family val="3"/>
        <charset val="134"/>
        <scheme val="minor"/>
      </rPr>
      <t>创发</t>
    </r>
    <r>
      <rPr>
        <sz val="11"/>
        <color theme="1"/>
        <rFont val="ＭＳ Ｐゴシック"/>
        <family val="3"/>
        <charset val="128"/>
        <scheme val="minor"/>
      </rPr>
      <t>展（深圳）有限公司</t>
    </r>
  </si>
  <si>
    <r>
      <t xml:space="preserve">米酒; 白酒; 果酒（含酒精）;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 xml:space="preserve">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白干酒（中国白酒）; 青稞酒; 黄酒; 白葡萄酒</t>
    </r>
  </si>
  <si>
    <t>秉乾成就</t>
  </si>
  <si>
    <r>
      <t>罗</t>
    </r>
    <r>
      <rPr>
        <sz val="11"/>
        <color theme="1"/>
        <rFont val="ＭＳ Ｐゴシック"/>
        <family val="3"/>
        <charset val="128"/>
        <scheme val="minor"/>
      </rPr>
      <t>洪升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</si>
  <si>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白酒; 米酒;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清酒（日本米酒）; 开胃酒; 果酒（含酒精）</t>
    </r>
  </si>
  <si>
    <t>菉竹</t>
  </si>
  <si>
    <r>
      <t xml:space="preserve">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白酒; 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葡萄酒; 威士忌; 青稞酒</t>
    </r>
  </si>
  <si>
    <t>婷香和</t>
  </si>
  <si>
    <r>
      <t>张</t>
    </r>
    <r>
      <rPr>
        <sz val="11"/>
        <color theme="1"/>
        <rFont val="ＭＳ Ｐゴシック"/>
        <family val="3"/>
        <charset val="128"/>
        <scheme val="minor"/>
      </rPr>
      <t>月婷</t>
    </r>
  </si>
  <si>
    <r>
      <t>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烈酒; 白酒; 黄酒; 果酒（含酒精）; 葡萄酒</t>
    </r>
  </si>
  <si>
    <t>璞色</t>
  </si>
  <si>
    <t>徐宁</t>
  </si>
  <si>
    <r>
      <t>果酒（含酒精）;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蒸煮提取物（利口酒和烈酒）;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白酒; 黄酒</t>
    </r>
  </si>
  <si>
    <t>MEI TIME</t>
  </si>
  <si>
    <r>
      <t>上海溪桐</t>
    </r>
    <r>
      <rPr>
        <sz val="11"/>
        <color theme="1"/>
        <rFont val="ＭＳ Ｐゴシック"/>
        <family val="3"/>
        <charset val="134"/>
        <scheme val="minor"/>
      </rPr>
      <t>实业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</si>
  <si>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水果汽酒; 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露酒;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甜酒; 白酒; 果酒（含酒精）</t>
    </r>
  </si>
  <si>
    <t>缊韨</t>
  </si>
  <si>
    <r>
      <t xml:space="preserve">威士忌; 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汽酒; 青稞酒</t>
    </r>
  </si>
  <si>
    <r>
      <t>缟</t>
    </r>
    <r>
      <rPr>
        <sz val="11"/>
        <color theme="1"/>
        <rFont val="ＭＳ Ｐゴシック"/>
        <family val="3"/>
        <charset val="128"/>
        <scheme val="minor"/>
      </rPr>
      <t>羽</t>
    </r>
  </si>
  <si>
    <r>
      <t>威士忌; 清酒（日本米酒）; 青稞酒; 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</t>
    </r>
  </si>
  <si>
    <t>金潭仙</t>
  </si>
  <si>
    <r>
      <t>黄酒; 清酒（日本米酒）;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开胃酒;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蜂蜜酒</t>
    </r>
  </si>
  <si>
    <t>兰丝带</t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</si>
  <si>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烈酒; 葡萄酒; 利口酒; 伏特加酒; 朗姆酒</t>
    </r>
  </si>
  <si>
    <r>
      <t>尧</t>
    </r>
    <r>
      <rPr>
        <sz val="11"/>
        <color theme="1"/>
        <rFont val="ＭＳ Ｐゴシック"/>
        <family val="3"/>
        <charset val="128"/>
        <scheme val="minor"/>
      </rPr>
      <t>旺</t>
    </r>
  </si>
  <si>
    <r>
      <t>深圳市</t>
    </r>
    <r>
      <rPr>
        <sz val="11"/>
        <color theme="1"/>
        <rFont val="ＭＳ Ｐゴシック"/>
        <family val="3"/>
        <charset val="134"/>
        <scheme val="minor"/>
      </rPr>
      <t>涤风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</si>
  <si>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果酒; 黄酒; 利口酒;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青稞酒;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</t>
    </r>
  </si>
  <si>
    <t>大窖宁清</t>
  </si>
  <si>
    <r>
      <t>徐</t>
    </r>
    <r>
      <rPr>
        <sz val="11"/>
        <color theme="1"/>
        <rFont val="ＭＳ Ｐゴシック"/>
        <family val="3"/>
        <charset val="134"/>
        <scheme val="minor"/>
      </rPr>
      <t>树</t>
    </r>
    <r>
      <rPr>
        <sz val="11"/>
        <color theme="1"/>
        <rFont val="ＭＳ Ｐゴシック"/>
        <family val="3"/>
        <charset val="128"/>
        <scheme val="minor"/>
      </rPr>
      <t>海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</si>
  <si>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黄酒; 蜂蜜酒;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果酒（含酒精）; 开胃酒;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</si>
  <si>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元聚广</t>
  </si>
  <si>
    <r>
      <t>他</t>
    </r>
    <r>
      <rPr>
        <sz val="11"/>
        <color theme="1"/>
        <rFont val="ＭＳ Ｐゴシック"/>
        <family val="3"/>
        <charset val="134"/>
        <scheme val="minor"/>
      </rPr>
      <t>骄</t>
    </r>
    <r>
      <rPr>
        <sz val="11"/>
        <color theme="1"/>
        <rFont val="ＭＳ Ｐゴシック"/>
        <family val="3"/>
        <charset val="128"/>
        <scheme val="minor"/>
      </rPr>
      <t>她</t>
    </r>
    <r>
      <rPr>
        <sz val="11"/>
        <color theme="1"/>
        <rFont val="ＭＳ Ｐゴシック"/>
        <family val="3"/>
        <charset val="134"/>
        <scheme val="minor"/>
      </rPr>
      <t>娇</t>
    </r>
    <r>
      <rPr>
        <sz val="11"/>
        <color theme="1"/>
        <rFont val="ＭＳ Ｐゴシック"/>
        <family val="3"/>
        <charset val="128"/>
        <scheme val="minor"/>
      </rPr>
      <t>（南通）品牌管理有限公司</t>
    </r>
  </si>
  <si>
    <r>
      <t>白酒; 米酒; 露酒;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高粱酒; 果酒（含酒精）;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</t>
    </r>
  </si>
  <si>
    <r>
      <t>天</t>
    </r>
    <r>
      <rPr>
        <sz val="11"/>
        <color theme="1"/>
        <rFont val="ＭＳ Ｐゴシック"/>
        <family val="3"/>
        <charset val="134"/>
        <scheme val="minor"/>
      </rPr>
      <t>时叁</t>
    </r>
    <r>
      <rPr>
        <sz val="11"/>
        <color theme="1"/>
        <rFont val="ＭＳ Ｐゴシック"/>
        <family val="3"/>
        <charset val="128"/>
        <scheme val="minor"/>
      </rPr>
      <t>拾</t>
    </r>
  </si>
  <si>
    <r>
      <t>河南仰韶酒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</si>
  <si>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米酒; 食用酒精;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</si>
  <si>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匠甲一方</t>
  </si>
  <si>
    <r>
      <t>郑继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（北京）有限公司</t>
    </r>
  </si>
  <si>
    <r>
      <t>开胃酒;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白酒;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威士忌; 米酒; 果酒（含酒精）</t>
    </r>
  </si>
  <si>
    <r>
      <t>梁酩</t>
    </r>
    <r>
      <rPr>
        <sz val="11"/>
        <color theme="1"/>
        <rFont val="ＭＳ Ｐゴシック"/>
        <family val="3"/>
        <charset val="134"/>
        <scheme val="minor"/>
      </rPr>
      <t>浔</t>
    </r>
  </si>
  <si>
    <r>
      <t>杭州芊</t>
    </r>
    <r>
      <rPr>
        <sz val="11"/>
        <color theme="1"/>
        <rFont val="ＭＳ Ｐゴシック"/>
        <family val="3"/>
        <charset val="134"/>
        <scheme val="minor"/>
      </rPr>
      <t>丝</t>
    </r>
    <r>
      <rPr>
        <sz val="11"/>
        <color theme="1"/>
        <rFont val="ＭＳ Ｐゴシック"/>
        <family val="3"/>
        <charset val="129"/>
        <scheme val="minor"/>
      </rPr>
      <t>朵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</si>
  <si>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食用酒精; 葡萄酒; 朗姆酒; 伏特加酒;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果酒（含酒精）; 白酒; 黄酒; 威士忌;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</si>
  <si>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粮洪泉</t>
  </si>
  <si>
    <r>
      <t>闫</t>
    </r>
    <r>
      <rPr>
        <sz val="11"/>
        <color theme="1"/>
        <rFont val="ＭＳ Ｐゴシック"/>
        <family val="3"/>
        <charset val="128"/>
        <scheme val="minor"/>
      </rPr>
      <t>玉玲</t>
    </r>
  </si>
  <si>
    <r>
      <t>米酒; 果酒（含酒精）;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开胃酒;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清酒（日本米酒）; 白酒</t>
    </r>
  </si>
  <si>
    <r>
      <t>雷</t>
    </r>
    <r>
      <rPr>
        <sz val="11"/>
        <color theme="1"/>
        <rFont val="ＭＳ Ｐゴシック"/>
        <family val="3"/>
        <charset val="134"/>
        <scheme val="minor"/>
      </rPr>
      <t>谛</t>
    </r>
  </si>
  <si>
    <r>
      <t>延安小</t>
    </r>
    <r>
      <rPr>
        <sz val="11"/>
        <color theme="1"/>
        <rFont val="ＭＳ Ｐゴシック"/>
        <family val="3"/>
        <charset val="134"/>
        <scheme val="minor"/>
      </rPr>
      <t>帅</t>
    </r>
    <r>
      <rPr>
        <sz val="11"/>
        <color theme="1"/>
        <rFont val="ＭＳ Ｐゴシック"/>
        <family val="3"/>
        <charset val="128"/>
        <scheme val="minor"/>
      </rPr>
      <t>工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</si>
  <si>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米酒;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葡萄酒; 伏特加酒;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清酒（日本米酒）;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</si>
  <si>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鑫好人家</t>
  </si>
  <si>
    <t>河北鑫好人家食品有限公司</t>
  </si>
  <si>
    <r>
      <t>开胃酒; 白酒; 汽酒;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葡萄酒; 黄酒; 果酒（含酒精）</t>
    </r>
  </si>
  <si>
    <t>匠心气概</t>
  </si>
  <si>
    <r>
      <t>果酒（含酒精）; 清酒（日本米酒）; 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白干酒（中国白酒）; 白酒</t>
    </r>
  </si>
  <si>
    <r>
      <t>木</t>
    </r>
    <r>
      <rPr>
        <sz val="11"/>
        <color theme="1"/>
        <rFont val="ＭＳ Ｐゴシック"/>
        <family val="3"/>
        <charset val="134"/>
        <scheme val="minor"/>
      </rPr>
      <t>铎</t>
    </r>
    <r>
      <rPr>
        <sz val="11"/>
        <color theme="1"/>
        <rFont val="ＭＳ Ｐゴシック"/>
        <family val="3"/>
        <charset val="128"/>
        <scheme val="minor"/>
      </rPr>
      <t>湾</t>
    </r>
  </si>
  <si>
    <r>
      <t>兰</t>
    </r>
    <r>
      <rPr>
        <sz val="11"/>
        <color theme="1"/>
        <rFont val="ＭＳ Ｐゴシック"/>
        <family val="3"/>
        <charset val="128"/>
        <scheme val="minor"/>
      </rPr>
      <t>考</t>
    </r>
    <r>
      <rPr>
        <sz val="11"/>
        <color theme="1"/>
        <rFont val="ＭＳ Ｐゴシック"/>
        <family val="3"/>
        <charset val="134"/>
        <scheme val="minor"/>
      </rPr>
      <t>县农垦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</si>
  <si>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米酒; 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葡萄酒; 威士忌; 白酒;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</si>
  <si>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关堂</t>
  </si>
  <si>
    <r>
      <t>中道晋美文化旅游（山西）有限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</si>
  <si>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 xml:space="preserve">果酒（含酒精）; 黄酒; 米酒; 白酒; 含酒精的气泡水;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清酒（日本米酒）; 青稞酒</t>
    </r>
  </si>
  <si>
    <r>
      <t>大</t>
    </r>
    <r>
      <rPr>
        <sz val="11"/>
        <color theme="1"/>
        <rFont val="ＭＳ Ｐゴシック"/>
        <family val="3"/>
        <charset val="134"/>
        <scheme val="minor"/>
      </rPr>
      <t>则兴</t>
    </r>
  </si>
  <si>
    <t>王超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</si>
  <si>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朗姆酒; 黄酒; 食用酒精; 果酒（含酒精）; 白酒; 葡萄酒; 威士忌;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</si>
  <si>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狮</t>
    </r>
    <r>
      <rPr>
        <sz val="11"/>
        <color theme="1"/>
        <rFont val="ＭＳ Ｐゴシック"/>
        <family val="3"/>
        <charset val="128"/>
        <scheme val="minor"/>
      </rPr>
      <t>城</t>
    </r>
    <r>
      <rPr>
        <sz val="11"/>
        <color theme="1"/>
        <rFont val="ＭＳ Ｐゴシック"/>
        <family val="3"/>
        <charset val="134"/>
        <scheme val="minor"/>
      </rPr>
      <t>蓝</t>
    </r>
    <r>
      <rPr>
        <sz val="11"/>
        <color theme="1"/>
        <rFont val="ＭＳ Ｐゴシック"/>
        <family val="3"/>
        <charset val="128"/>
        <scheme val="minor"/>
      </rPr>
      <t>天</t>
    </r>
  </si>
  <si>
    <t>杨业</t>
  </si>
  <si>
    <r>
      <t xml:space="preserve">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青稞酒; 白酒; 黄酒; 朗姆酒; 果酒（含酒精）; 米酒;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</si>
  <si>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楷航</t>
  </si>
  <si>
    <r>
      <t>罗</t>
    </r>
    <r>
      <rPr>
        <sz val="11"/>
        <color theme="1"/>
        <rFont val="ＭＳ Ｐゴシック"/>
        <family val="3"/>
        <charset val="128"/>
        <scheme val="minor"/>
      </rPr>
      <t>仰</t>
    </r>
    <r>
      <rPr>
        <sz val="11"/>
        <color theme="1"/>
        <rFont val="ＭＳ Ｐゴシック"/>
        <family val="3"/>
        <charset val="134"/>
        <scheme val="minor"/>
      </rPr>
      <t>辉</t>
    </r>
  </si>
  <si>
    <r>
      <t>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黄酒;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高粱酒; 清酒;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米酒</t>
    </r>
  </si>
  <si>
    <t>晋南侯</t>
  </si>
  <si>
    <t>朱金容</t>
  </si>
  <si>
    <r>
      <t xml:space="preserve">白酒; 葡萄酒;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</si>
  <si>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华诺</t>
    </r>
    <r>
      <rPr>
        <sz val="11"/>
        <color theme="1"/>
        <rFont val="ＭＳ Ｐゴシック"/>
        <family val="3"/>
        <charset val="128"/>
        <scheme val="minor"/>
      </rPr>
      <t>美</t>
    </r>
  </si>
  <si>
    <r>
      <t>罗</t>
    </r>
    <r>
      <rPr>
        <sz val="11"/>
        <color theme="1"/>
        <rFont val="ＭＳ Ｐゴシック"/>
        <family val="3"/>
        <charset val="128"/>
        <scheme val="minor"/>
      </rPr>
      <t>学平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</si>
  <si>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威士忌;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</si>
  <si>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举</t>
    </r>
    <r>
      <rPr>
        <sz val="11"/>
        <color theme="1"/>
        <rFont val="ＭＳ Ｐゴシック"/>
        <family val="3"/>
        <charset val="128"/>
        <scheme val="minor"/>
      </rPr>
      <t>杯花冠</t>
    </r>
  </si>
  <si>
    <r>
      <t>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花冠酒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</si>
  <si>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米酒;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苹果酒</t>
    </r>
  </si>
  <si>
    <t>玫瑰山父子·城堡</t>
  </si>
  <si>
    <r>
      <t>赵</t>
    </r>
    <r>
      <rPr>
        <sz val="11"/>
        <color theme="1"/>
        <rFont val="ＭＳ Ｐゴシック"/>
        <family val="3"/>
        <charset val="128"/>
        <scheme val="minor"/>
      </rPr>
      <t>涵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</si>
  <si>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葡萄酒; 蜂蜜酒; 米酒; 蒸煮提取物（利口酒和烈酒）; 黄酒;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</t>
    </r>
  </si>
  <si>
    <t>MACMARY</t>
  </si>
  <si>
    <r>
      <t>上海双麦信息技</t>
    </r>
    <r>
      <rPr>
        <sz val="11"/>
        <color theme="1"/>
        <rFont val="ＭＳ Ｐゴシック"/>
        <family val="3"/>
        <charset val="134"/>
        <scheme val="minor"/>
      </rPr>
      <t>术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</si>
  <si>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白酒; 黄酒; 清酒（日本米酒）; 果酒（含酒精）;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</si>
  <si>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玉露成仙</t>
  </si>
  <si>
    <r>
      <t>四川省酒中仙酒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</si>
  <si>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果酒（含酒精）; 黄酒; 白酒; 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葡萄酒;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</si>
  <si>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义</t>
    </r>
    <r>
      <rPr>
        <sz val="11"/>
        <color theme="1"/>
        <rFont val="ＭＳ Ｐゴシック"/>
        <family val="3"/>
        <charset val="128"/>
        <scheme val="minor"/>
      </rPr>
      <t>森</t>
    </r>
    <r>
      <rPr>
        <sz val="11"/>
        <color theme="1"/>
        <rFont val="ＭＳ Ｐゴシック"/>
        <family val="3"/>
        <charset val="134"/>
        <scheme val="minor"/>
      </rPr>
      <t>缘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</si>
  <si>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</t>
    </r>
    <r>
      <rPr>
        <sz val="11"/>
        <color theme="1"/>
        <rFont val="ＭＳ Ｐゴシック"/>
        <family val="3"/>
        <charset val="134"/>
        <scheme val="minor"/>
      </rPr>
      <t>艺</t>
    </r>
    <r>
      <rPr>
        <sz val="11"/>
        <color theme="1"/>
        <rFont val="ＭＳ Ｐゴシック"/>
        <family val="3"/>
        <charset val="128"/>
        <scheme val="minor"/>
      </rPr>
      <t>森</t>
    </r>
    <r>
      <rPr>
        <sz val="11"/>
        <color theme="1"/>
        <rFont val="ＭＳ Ｐゴシック"/>
        <family val="3"/>
        <charset val="134"/>
        <scheme val="minor"/>
      </rPr>
      <t>圆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业销</t>
    </r>
    <r>
      <rPr>
        <sz val="11"/>
        <color theme="1"/>
        <rFont val="ＭＳ Ｐゴシック"/>
        <family val="3"/>
        <charset val="128"/>
        <scheme val="minor"/>
      </rPr>
      <t>售有限公司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</si>
  <si>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蒸煮提取物（利口酒和烈酒）;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白酒; 食用酒精; 果酒（含酒精）; 葡萄酒; 黄酒</t>
    </r>
  </si>
  <si>
    <t>旦角印象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</si>
  <si>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苹果酒; 食用酒精; 米酒;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蜂蜜酒;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汽酒; 白酒</t>
    </r>
  </si>
  <si>
    <r>
      <t>御</t>
    </r>
    <r>
      <rPr>
        <sz val="11"/>
        <color theme="1"/>
        <rFont val="ＭＳ Ｐゴシック"/>
        <family val="3"/>
        <charset val="134"/>
        <scheme val="minor"/>
      </rPr>
      <t>储贡</t>
    </r>
  </si>
  <si>
    <r>
      <t>储</t>
    </r>
    <r>
      <rPr>
        <sz val="11"/>
        <color theme="1"/>
        <rFont val="ＭＳ Ｐゴシック"/>
        <family val="3"/>
        <charset val="128"/>
        <scheme val="minor"/>
      </rPr>
      <t>力投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股份有限公司</t>
    </r>
  </si>
  <si>
    <r>
      <t>白酒;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黄酒; 青稞酒;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</si>
  <si>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新疆永</t>
    </r>
    <r>
      <rPr>
        <sz val="11"/>
        <color theme="1"/>
        <rFont val="ＭＳ Ｐゴシック"/>
        <family val="3"/>
        <charset val="129"/>
        <scheme val="minor"/>
      </rPr>
      <t>胜</t>
    </r>
    <r>
      <rPr>
        <sz val="11"/>
        <color theme="1"/>
        <rFont val="ＭＳ Ｐゴシック"/>
        <family val="3"/>
        <charset val="128"/>
        <scheme val="minor"/>
      </rPr>
      <t>投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（集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）有限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</si>
  <si>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葡萄酒; 白酒; 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烈性干酒;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梨酒;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</t>
    </r>
  </si>
  <si>
    <t>汶水望岳</t>
  </si>
  <si>
    <r>
      <t>泰安国正健康咨</t>
    </r>
    <r>
      <rPr>
        <sz val="11"/>
        <color theme="1"/>
        <rFont val="ＭＳ Ｐゴシック"/>
        <family val="3"/>
        <charset val="134"/>
        <scheme val="minor"/>
      </rPr>
      <t>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</si>
  <si>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利口酒; 白酒; 清酒; 果酒; 蒸煮提取物（利口酒和烈酒）;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食用酒精</t>
    </r>
  </si>
  <si>
    <r>
      <t>意</t>
    </r>
    <r>
      <rPr>
        <sz val="11"/>
        <color theme="1"/>
        <rFont val="ＭＳ Ｐゴシック"/>
        <family val="3"/>
        <charset val="134"/>
        <scheme val="minor"/>
      </rPr>
      <t>丽</t>
    </r>
    <r>
      <rPr>
        <sz val="11"/>
        <color theme="1"/>
        <rFont val="ＭＳ Ｐゴシック"/>
        <family val="3"/>
        <charset val="128"/>
        <scheme val="minor"/>
      </rPr>
      <t>金手指</t>
    </r>
  </si>
  <si>
    <r>
      <t>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清酒（日本米酒）;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汽酒; 餐后酒（利口酒和烈酒）; 威士忌;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</si>
  <si>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亨富</t>
  </si>
  <si>
    <r>
      <t>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葡萄酒; 汽酒;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</si>
  <si>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忆览</t>
    </r>
    <r>
      <rPr>
        <sz val="11"/>
        <color theme="1"/>
        <rFont val="ＭＳ Ｐゴシック"/>
        <family val="3"/>
        <charset val="128"/>
        <scheme val="minor"/>
      </rPr>
      <t>江</t>
    </r>
    <r>
      <rPr>
        <sz val="11"/>
        <color theme="1"/>
        <rFont val="ＭＳ Ｐゴシック"/>
        <family val="3"/>
        <charset val="134"/>
        <scheme val="minor"/>
      </rPr>
      <t>壶</t>
    </r>
  </si>
  <si>
    <t>莫熙道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</si>
  <si>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清酒（日本米酒）; 葡萄酒; 白酒; 威士忌;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</t>
    </r>
  </si>
  <si>
    <r>
      <t>鲁</t>
    </r>
    <r>
      <rPr>
        <sz val="11"/>
        <color theme="1"/>
        <rFont val="ＭＳ Ｐゴシック"/>
        <family val="3"/>
        <charset val="128"/>
        <scheme val="minor"/>
      </rPr>
      <t>酒花冠</t>
    </r>
  </si>
  <si>
    <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苹果酒;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</t>
    </r>
  </si>
  <si>
    <t>益州一喜</t>
  </si>
  <si>
    <r>
      <t>厦</t>
    </r>
    <r>
      <rPr>
        <sz val="11"/>
        <color theme="1"/>
        <rFont val="ＭＳ Ｐゴシック"/>
        <family val="3"/>
        <charset val="134"/>
        <scheme val="minor"/>
      </rPr>
      <t>门</t>
    </r>
    <r>
      <rPr>
        <sz val="11"/>
        <color theme="1"/>
        <rFont val="ＭＳ Ｐゴシック"/>
        <family val="3"/>
        <charset val="128"/>
        <scheme val="minor"/>
      </rPr>
      <t>益西文化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播有限公司</t>
    </r>
  </si>
  <si>
    <r>
      <t>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甘蔗制烈酒;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葡萄酒;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</si>
  <si>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意昂</t>
  </si>
  <si>
    <r>
      <t>吉林省意昂</t>
    </r>
    <r>
      <rPr>
        <sz val="11"/>
        <color theme="1"/>
        <rFont val="ＭＳ Ｐゴシック"/>
        <family val="3"/>
        <charset val="134"/>
        <scheme val="minor"/>
      </rPr>
      <t>农业</t>
    </r>
    <r>
      <rPr>
        <sz val="11"/>
        <color theme="1"/>
        <rFont val="ＭＳ Ｐゴシック"/>
        <family val="3"/>
        <charset val="128"/>
        <scheme val="minor"/>
      </rPr>
      <t>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</si>
  <si>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黄酒; 白酒;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食用酒精;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果酒（含酒精）; 汽酒</t>
    </r>
  </si>
  <si>
    <r>
      <t>富</t>
    </r>
    <r>
      <rPr>
        <sz val="11"/>
        <color theme="1"/>
        <rFont val="ＭＳ Ｐゴシック"/>
        <family val="3"/>
        <charset val="134"/>
        <scheme val="minor"/>
      </rPr>
      <t>贵</t>
    </r>
    <r>
      <rPr>
        <sz val="11"/>
        <color theme="1"/>
        <rFont val="ＭＳ Ｐゴシック"/>
        <family val="3"/>
        <charset val="128"/>
        <scheme val="minor"/>
      </rPr>
      <t>池</t>
    </r>
  </si>
  <si>
    <t>王丹</t>
  </si>
  <si>
    <r>
      <t xml:space="preserve">黄酒;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清酒（日本米酒）; 葡萄酒; 蜂蜜酒;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开胃酒</t>
    </r>
  </si>
  <si>
    <r>
      <t>广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海大集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股份有限公司</t>
    </r>
  </si>
  <si>
    <r>
      <t>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甜果酒;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水果汽酒;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汽酒; 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蜂蜜酒</t>
    </r>
  </si>
  <si>
    <r>
      <t>泸</t>
    </r>
    <r>
      <rPr>
        <sz val="11"/>
        <color theme="1"/>
        <rFont val="ＭＳ Ｐゴシック"/>
        <family val="3"/>
        <charset val="128"/>
        <scheme val="minor"/>
      </rPr>
      <t>毓</t>
    </r>
  </si>
  <si>
    <t>宋慧敏</t>
  </si>
  <si>
    <r>
      <t xml:space="preserve">利口酒; 白酒; 米酒; 食用酒精; 黄酒; 蜂蜜酒; 开胃酒; 果酒（含酒精）;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</si>
  <si>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源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植</t>
    </r>
    <r>
      <rPr>
        <sz val="11"/>
        <color theme="1"/>
        <rFont val="ＭＳ Ｐゴシック"/>
        <family val="3"/>
        <charset val="134"/>
        <scheme val="minor"/>
      </rPr>
      <t>纯</t>
    </r>
  </si>
  <si>
    <r>
      <t>东</t>
    </r>
    <r>
      <rPr>
        <sz val="11"/>
        <color theme="1"/>
        <rFont val="ＭＳ Ｐゴシック"/>
        <family val="3"/>
        <charset val="128"/>
        <scheme val="minor"/>
      </rPr>
      <t>莞市</t>
    </r>
    <r>
      <rPr>
        <sz val="11"/>
        <color theme="1"/>
        <rFont val="ＭＳ Ｐゴシック"/>
        <family val="3"/>
        <charset val="134"/>
        <scheme val="minor"/>
      </rPr>
      <t>观</t>
    </r>
    <r>
      <rPr>
        <sz val="11"/>
        <color theme="1"/>
        <rFont val="ＭＳ Ｐゴシック"/>
        <family val="3"/>
        <charset val="128"/>
        <scheme val="minor"/>
      </rPr>
      <t>音山植物信息技</t>
    </r>
    <r>
      <rPr>
        <sz val="11"/>
        <color theme="1"/>
        <rFont val="ＭＳ Ｐゴシック"/>
        <family val="3"/>
        <charset val="134"/>
        <scheme val="minor"/>
      </rPr>
      <t>术</t>
    </r>
    <r>
      <rPr>
        <sz val="11"/>
        <color theme="1"/>
        <rFont val="ＭＳ Ｐゴシック"/>
        <family val="3"/>
        <charset val="128"/>
        <scheme val="minor"/>
      </rPr>
      <t>服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</si>
  <si>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开胃酒; 利口酒; 米酒; 含酒精的气泡水;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黄酒; 白酒</t>
    </r>
  </si>
  <si>
    <r>
      <t>束度酒</t>
    </r>
    <r>
      <rPr>
        <sz val="11"/>
        <color theme="1"/>
        <rFont val="ＭＳ Ｐゴシック"/>
        <family val="3"/>
        <charset val="134"/>
        <scheme val="minor"/>
      </rPr>
      <t>业</t>
    </r>
  </si>
  <si>
    <r>
      <t>高粱酒; 白酒; 清酒;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葡萄酒;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</si>
  <si>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锦</t>
    </r>
    <r>
      <rPr>
        <sz val="11"/>
        <color theme="1"/>
        <rFont val="ＭＳ Ｐゴシック"/>
        <family val="3"/>
        <charset val="128"/>
        <scheme val="minor"/>
      </rPr>
      <t>域醇</t>
    </r>
    <r>
      <rPr>
        <sz val="11"/>
        <color theme="1"/>
        <rFont val="ＭＳ Ｐゴシック"/>
        <family val="3"/>
        <charset val="134"/>
        <scheme val="minor"/>
      </rPr>
      <t>汉坛</t>
    </r>
  </si>
  <si>
    <r>
      <t>陈</t>
    </r>
    <r>
      <rPr>
        <sz val="11"/>
        <color theme="1"/>
        <rFont val="ＭＳ Ｐゴシック"/>
        <family val="3"/>
        <charset val="128"/>
        <scheme val="minor"/>
      </rPr>
      <t>俊容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</si>
  <si>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果酒（含酒精）; 汽酒; 白酒; 葡萄酒;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</si>
  <si>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t>SOKIND</t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</si>
  <si>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汽酒; 清酒（日本米酒）; 威士忌; 白酒; 餐后酒（利口酒和烈酒）;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</si>
  <si>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棠英</t>
  </si>
  <si>
    <r>
      <t>孙</t>
    </r>
    <r>
      <rPr>
        <sz val="11"/>
        <color theme="1"/>
        <rFont val="ＭＳ Ｐゴシック"/>
        <family val="3"/>
        <charset val="128"/>
        <scheme val="minor"/>
      </rPr>
      <t>建</t>
    </r>
    <r>
      <rPr>
        <sz val="11"/>
        <color theme="1"/>
        <rFont val="ＭＳ Ｐゴシック"/>
        <family val="3"/>
        <charset val="134"/>
        <scheme val="minor"/>
      </rPr>
      <t>标</t>
    </r>
  </si>
  <si>
    <r>
      <t xml:space="preserve">白酒; 甜酒; 果酒（含酒精）; 露酒; 烈性干酒; 清酒; 薄荷酒; 开胃酒;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</si>
  <si>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钧</t>
    </r>
    <r>
      <rPr>
        <sz val="11"/>
        <color theme="1"/>
        <rFont val="ＭＳ Ｐゴシック"/>
        <family val="3"/>
        <charset val="128"/>
        <scheme val="minor"/>
      </rPr>
      <t>夫子</t>
    </r>
  </si>
  <si>
    <r>
      <t xml:space="preserve">白酒; 开胃酒;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食用酒精; 清酒（日本米酒）;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利口酒; 葡萄酒</t>
    </r>
  </si>
  <si>
    <r>
      <t>花</t>
    </r>
    <r>
      <rPr>
        <sz val="11"/>
        <color theme="1"/>
        <rFont val="ＭＳ Ｐゴシック"/>
        <family val="3"/>
        <charset val="129"/>
        <scheme val="minor"/>
      </rPr>
      <t>朵</t>
    </r>
    <r>
      <rPr>
        <sz val="11"/>
        <color theme="1"/>
        <rFont val="ＭＳ Ｐゴシック"/>
        <family val="3"/>
        <charset val="128"/>
        <scheme val="minor"/>
      </rPr>
      <t>奇</t>
    </r>
  </si>
  <si>
    <r>
      <t>黄</t>
    </r>
    <r>
      <rPr>
        <sz val="11"/>
        <color theme="1"/>
        <rFont val="ＭＳ Ｐゴシック"/>
        <family val="3"/>
        <charset val="134"/>
        <scheme val="minor"/>
      </rPr>
      <t>凤</t>
    </r>
    <r>
      <rPr>
        <sz val="11"/>
        <color theme="1"/>
        <rFont val="ＭＳ Ｐゴシック"/>
        <family val="3"/>
        <charset val="128"/>
        <scheme val="minor"/>
      </rPr>
      <t>金</t>
    </r>
  </si>
  <si>
    <r>
      <t xml:space="preserve">威士忌;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葡萄酒</t>
    </r>
  </si>
  <si>
    <t>伊蒲供</t>
  </si>
  <si>
    <t>高略有限公司</t>
  </si>
  <si>
    <r>
      <t xml:space="preserve">果酒; 甜酒; 葡萄酒; 蜂蜜酒; 白酒; 高粱酒;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梅酒; 汽酒; 黄酒; 米酒</t>
    </r>
  </si>
  <si>
    <r>
      <t>领</t>
    </r>
    <r>
      <rPr>
        <sz val="11"/>
        <color theme="1"/>
        <rFont val="ＭＳ Ｐゴシック"/>
        <family val="3"/>
        <charset val="128"/>
        <scheme val="minor"/>
      </rPr>
      <t>商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</si>
  <si>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州民族酒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民族智酒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</si>
  <si>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汽酒; 白酒; 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果酒; 葡萄酒; 威士忌;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</si>
  <si>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谷溪粮</t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</si>
  <si>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威士忌; 白酒; 清酒（日本米酒）; 果酒（含酒精）; 葡萄酒; 米酒; 开胃酒</t>
    </r>
  </si>
  <si>
    <r>
      <t>皇</t>
    </r>
    <r>
      <rPr>
        <sz val="11"/>
        <color theme="1"/>
        <rFont val="ＭＳ Ｐゴシック"/>
        <family val="3"/>
        <charset val="134"/>
        <scheme val="minor"/>
      </rPr>
      <t>玺</t>
    </r>
    <r>
      <rPr>
        <sz val="11"/>
        <color theme="1"/>
        <rFont val="ＭＳ Ｐゴシック"/>
        <family val="3"/>
        <charset val="128"/>
        <scheme val="minor"/>
      </rPr>
      <t>台紫</t>
    </r>
    <r>
      <rPr>
        <sz val="11"/>
        <color theme="1"/>
        <rFont val="ＭＳ Ｐゴシック"/>
        <family val="3"/>
        <charset val="134"/>
        <scheme val="minor"/>
      </rPr>
      <t>阁</t>
    </r>
  </si>
  <si>
    <r>
      <t>蒋</t>
    </r>
    <r>
      <rPr>
        <sz val="11"/>
        <color theme="1"/>
        <rFont val="ＭＳ Ｐゴシック"/>
        <family val="3"/>
        <charset val="134"/>
        <scheme val="minor"/>
      </rPr>
      <t>烁飞</t>
    </r>
  </si>
  <si>
    <r>
      <t>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食用酒精; 米酒</t>
    </r>
  </si>
  <si>
    <r>
      <t>徐</t>
    </r>
    <r>
      <rPr>
        <sz val="11"/>
        <color theme="1"/>
        <rFont val="ＭＳ Ｐゴシック"/>
        <family val="3"/>
        <charset val="134"/>
        <scheme val="minor"/>
      </rPr>
      <t>汉</t>
    </r>
    <r>
      <rPr>
        <sz val="11"/>
        <color theme="1"/>
        <rFont val="ＭＳ Ｐゴシック"/>
        <family val="3"/>
        <charset val="128"/>
        <scheme val="minor"/>
      </rPr>
      <t>帝</t>
    </r>
  </si>
  <si>
    <r>
      <t>彭文</t>
    </r>
    <r>
      <rPr>
        <sz val="11"/>
        <color theme="1"/>
        <rFont val="ＭＳ Ｐゴシック"/>
        <family val="3"/>
        <charset val="134"/>
        <scheme val="minor"/>
      </rPr>
      <t>岗</t>
    </r>
  </si>
  <si>
    <r>
      <t>葡萄酒; 威士忌;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清酒; 白酒; 日本梅子酒; 开胃酒; 清酒（日本米酒）; 日式甜米酒</t>
    </r>
  </si>
  <si>
    <t>不渝恋人</t>
  </si>
  <si>
    <r>
      <t>深圳国</t>
    </r>
    <r>
      <rPr>
        <sz val="11"/>
        <color theme="1"/>
        <rFont val="ＭＳ Ｐゴシック"/>
        <family val="3"/>
        <charset val="134"/>
        <scheme val="minor"/>
      </rPr>
      <t>汇实业发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</si>
  <si>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白酒;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黄酒; 伏特加酒</t>
    </r>
  </si>
  <si>
    <t>攀西魂</t>
  </si>
  <si>
    <r>
      <t>杜</t>
    </r>
    <r>
      <rPr>
        <sz val="11"/>
        <color theme="1"/>
        <rFont val="ＭＳ Ｐゴシック"/>
        <family val="3"/>
        <charset val="134"/>
        <scheme val="minor"/>
      </rPr>
      <t>刚</t>
    </r>
  </si>
  <si>
    <r>
      <t>开胃酒; 葡萄酒; 青稞酒; 烈酒;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果酒（含酒精）; 米酒; 白酒</t>
    </r>
  </si>
  <si>
    <r>
      <t>美</t>
    </r>
    <r>
      <rPr>
        <sz val="11"/>
        <color theme="1"/>
        <rFont val="ＭＳ Ｐゴシック"/>
        <family val="3"/>
        <charset val="134"/>
        <scheme val="minor"/>
      </rPr>
      <t>叹</t>
    </r>
  </si>
  <si>
    <r>
      <t>水果汽酒; 汽酒; 甜酒; 露酒; 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白酒;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</si>
  <si>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凯</t>
    </r>
    <r>
      <rPr>
        <sz val="11"/>
        <color theme="1"/>
        <rFont val="ＭＳ Ｐゴシック"/>
        <family val="3"/>
        <charset val="128"/>
        <scheme val="minor"/>
      </rPr>
      <t>市隆会</t>
    </r>
    <r>
      <rPr>
        <sz val="11"/>
        <color theme="1"/>
        <rFont val="ＭＳ Ｐゴシック"/>
        <family val="3"/>
        <charset val="134"/>
        <scheme val="minor"/>
      </rPr>
      <t>员</t>
    </r>
    <r>
      <rPr>
        <sz val="11"/>
        <color theme="1"/>
        <rFont val="ＭＳ Ｐゴシック"/>
        <family val="3"/>
        <charset val="128"/>
        <scheme val="minor"/>
      </rPr>
      <t>店</t>
    </r>
  </si>
  <si>
    <r>
      <t>上海</t>
    </r>
    <r>
      <rPr>
        <sz val="11"/>
        <color theme="1"/>
        <rFont val="ＭＳ Ｐゴシック"/>
        <family val="3"/>
        <charset val="134"/>
        <scheme val="minor"/>
      </rPr>
      <t>凯</t>
    </r>
    <r>
      <rPr>
        <sz val="11"/>
        <color theme="1"/>
        <rFont val="ＭＳ Ｐゴシック"/>
        <family val="3"/>
        <charset val="128"/>
        <scheme val="minor"/>
      </rPr>
      <t>市隆供</t>
    </r>
    <r>
      <rPr>
        <sz val="11"/>
        <color theme="1"/>
        <rFont val="ＭＳ Ｐゴシック"/>
        <family val="3"/>
        <charset val="134"/>
        <scheme val="minor"/>
      </rPr>
      <t>应链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</si>
  <si>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葡萄酒; 米酒; 清酒（日本米酒）; 白酒;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</t>
    </r>
  </si>
  <si>
    <t>XIJINGNANJIANG</t>
  </si>
  <si>
    <r>
      <t>凤冈县</t>
    </r>
    <r>
      <rPr>
        <sz val="11"/>
        <color theme="1"/>
        <rFont val="ＭＳ Ｐゴシック"/>
        <family val="3"/>
        <charset val="128"/>
        <scheme val="minor"/>
      </rPr>
      <t>燕</t>
    </r>
    <r>
      <rPr>
        <sz val="11"/>
        <color theme="1"/>
        <rFont val="ＭＳ Ｐゴシック"/>
        <family val="3"/>
        <charset val="134"/>
        <scheme val="minor"/>
      </rPr>
      <t>飞</t>
    </r>
    <r>
      <rPr>
        <sz val="11"/>
        <color theme="1"/>
        <rFont val="ＭＳ Ｐゴシック"/>
        <family val="3"/>
        <charset val="128"/>
        <scheme val="minor"/>
      </rPr>
      <t>金山养殖</t>
    </r>
    <r>
      <rPr>
        <sz val="11"/>
        <color theme="1"/>
        <rFont val="ＭＳ Ｐゴシック"/>
        <family val="3"/>
        <charset val="134"/>
        <scheme val="minor"/>
      </rPr>
      <t>场</t>
    </r>
  </si>
  <si>
    <r>
      <t>蒸煮提取物（利口酒和烈酒）; 米酒; 果酒（含酒精）; 白酒;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苹果酒; 高粱酒;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</t>
    </r>
  </si>
  <si>
    <t>衡井坤</t>
  </si>
  <si>
    <r>
      <t>刘利</t>
    </r>
    <r>
      <rPr>
        <sz val="11"/>
        <color theme="1"/>
        <rFont val="ＭＳ Ｐゴシック"/>
        <family val="3"/>
        <charset val="134"/>
        <scheme val="minor"/>
      </rPr>
      <t>婵</t>
    </r>
  </si>
  <si>
    <r>
      <t xml:space="preserve">烈酒; 黄酒;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威士忌; 青稞酒;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</t>
    </r>
  </si>
  <si>
    <t>韶圣</t>
  </si>
  <si>
    <r>
      <t>韶山市雄</t>
    </r>
    <r>
      <rPr>
        <sz val="11"/>
        <color theme="1"/>
        <rFont val="ＭＳ Ｐゴシック"/>
        <family val="3"/>
        <charset val="134"/>
        <scheme val="minor"/>
      </rPr>
      <t>伟红</t>
    </r>
    <r>
      <rPr>
        <sz val="11"/>
        <color theme="1"/>
        <rFont val="ＭＳ Ｐゴシック"/>
        <family val="3"/>
        <charset val="128"/>
        <scheme val="minor"/>
      </rPr>
      <t>色酒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</si>
  <si>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高粱酒;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葡萄酒</t>
    </r>
  </si>
  <si>
    <t>九域牛哥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</si>
  <si>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餐后酒（利口酒和烈酒）;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青稞酒; 果酒（含酒精）; 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</t>
    </r>
  </si>
  <si>
    <r>
      <t>河南李小丫</t>
    </r>
    <r>
      <rPr>
        <sz val="11"/>
        <color theme="1"/>
        <rFont val="ＭＳ Ｐゴシック"/>
        <family val="3"/>
        <charset val="134"/>
        <scheme val="minor"/>
      </rPr>
      <t>实业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</si>
  <si>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烈酒;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白酒; 葡萄酒; 黄酒; 米酒</t>
    </r>
  </si>
  <si>
    <r>
      <t>清酒（日本米酒）; 汽酒; 餐后酒（利口酒和烈酒）;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葡萄酒</t>
    </r>
  </si>
  <si>
    <r>
      <t>西域都</t>
    </r>
    <r>
      <rPr>
        <sz val="11"/>
        <color theme="1"/>
        <rFont val="ＭＳ Ｐゴシック"/>
        <family val="3"/>
        <charset val="134"/>
        <scheme val="minor"/>
      </rPr>
      <t>护</t>
    </r>
    <r>
      <rPr>
        <sz val="11"/>
        <color theme="1"/>
        <rFont val="ＭＳ Ｐゴシック"/>
        <family val="3"/>
        <charset val="128"/>
        <scheme val="minor"/>
      </rPr>
      <t>府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</si>
  <si>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梨酒;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烈性干酒; 果酒（含酒精）; 葡萄酒; 食用酒精; 黄酒</t>
    </r>
  </si>
  <si>
    <r>
      <t>艾美火</t>
    </r>
    <r>
      <rPr>
        <sz val="11"/>
        <color theme="1"/>
        <rFont val="ＭＳ Ｐゴシック"/>
        <family val="3"/>
        <charset val="134"/>
        <scheme val="minor"/>
      </rPr>
      <t>鸟</t>
    </r>
  </si>
  <si>
    <r>
      <t>顶级</t>
    </r>
    <r>
      <rPr>
        <sz val="11"/>
        <color theme="1"/>
        <rFont val="ＭＳ Ｐゴシック"/>
        <family val="3"/>
        <charset val="128"/>
        <scheme val="minor"/>
      </rPr>
      <t>葡萄酒集</t>
    </r>
    <r>
      <rPr>
        <sz val="11"/>
        <color theme="1"/>
        <rFont val="ＭＳ Ｐゴシック"/>
        <family val="3"/>
        <charset val="134"/>
        <scheme val="minor"/>
      </rPr>
      <t>团</t>
    </r>
  </si>
  <si>
    <r>
      <t>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</si>
  <si>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青云</t>
    </r>
    <r>
      <rPr>
        <sz val="11"/>
        <color theme="1"/>
        <rFont val="ＭＳ Ｐゴシック"/>
        <family val="3"/>
        <charset val="134"/>
        <scheme val="minor"/>
      </rPr>
      <t>阙</t>
    </r>
  </si>
  <si>
    <r>
      <t>钱</t>
    </r>
    <r>
      <rPr>
        <sz val="11"/>
        <color theme="1"/>
        <rFont val="ＭＳ Ｐゴシック"/>
        <family val="3"/>
        <charset val="128"/>
        <scheme val="minor"/>
      </rPr>
      <t>宗科*****************X</t>
    </r>
  </si>
  <si>
    <r>
      <t>葡萄酒; 清酒; 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甜酒; 汽酒; 果酒; 威士忌; 白酒</t>
    </r>
  </si>
  <si>
    <r>
      <t>守山自</t>
    </r>
    <r>
      <rPr>
        <sz val="11"/>
        <color theme="1"/>
        <rFont val="ＭＳ Ｐゴシック"/>
        <family val="3"/>
        <charset val="134"/>
        <scheme val="minor"/>
      </rPr>
      <t>饮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</si>
  <si>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葡萄酒;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青稞酒; 米酒; 餐后酒（利口酒和烈酒）; 果酒（含酒精）</t>
    </r>
  </si>
  <si>
    <t>黔隆惠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</si>
  <si>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州惠群商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</si>
  <si>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清酒（日本米酒）;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</si>
  <si>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龙凤</t>
    </r>
    <r>
      <rPr>
        <sz val="11"/>
        <color theme="1"/>
        <rFont val="ＭＳ Ｐゴシック"/>
        <family val="3"/>
        <charset val="128"/>
        <scheme val="minor"/>
      </rPr>
      <t>渊</t>
    </r>
  </si>
  <si>
    <r>
      <t>汽酒; 葡萄酒; 米酒; 蜂蜜酒;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苹果酒; 食用酒精;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</si>
  <si>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蓝</t>
    </r>
    <r>
      <rPr>
        <sz val="11"/>
        <color theme="1"/>
        <rFont val="ＭＳ Ｐゴシック"/>
        <family val="3"/>
        <charset val="128"/>
        <scheme val="minor"/>
      </rPr>
      <t>果</t>
    </r>
    <r>
      <rPr>
        <sz val="11"/>
        <color theme="1"/>
        <rFont val="ＭＳ Ｐゴシック"/>
        <family val="3"/>
        <charset val="134"/>
        <scheme val="minor"/>
      </rPr>
      <t>卫</t>
    </r>
    <r>
      <rPr>
        <sz val="11"/>
        <color theme="1"/>
        <rFont val="ＭＳ Ｐゴシック"/>
        <family val="3"/>
        <charset val="128"/>
        <scheme val="minor"/>
      </rPr>
      <t>康</t>
    </r>
  </si>
  <si>
    <r>
      <t>谢</t>
    </r>
    <r>
      <rPr>
        <sz val="11"/>
        <color theme="1"/>
        <rFont val="ＭＳ Ｐゴシック"/>
        <family val="3"/>
        <charset val="128"/>
        <scheme val="minor"/>
      </rPr>
      <t>妍</t>
    </r>
  </si>
  <si>
    <r>
      <t xml:space="preserve">清酒; 烈酒; 白酒; 威士忌; 梅酒; 白葡萄酒; 青稞酒; 黄酒;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</t>
    </r>
  </si>
  <si>
    <t>HENFOURDSKING</t>
  </si>
  <si>
    <r>
      <t>威士忌; 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</t>
    </r>
  </si>
  <si>
    <t>穿花行</t>
  </si>
  <si>
    <r>
      <t>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烈酒; 果酒（含酒精）; 米酒; 露酒; 清酒; 白酒; 葡萄酒;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</si>
  <si>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黑豹黔山</t>
  </si>
  <si>
    <r>
      <t>松桃恒瑞房地</t>
    </r>
    <r>
      <rPr>
        <sz val="11"/>
        <color theme="1"/>
        <rFont val="ＭＳ Ｐゴシック"/>
        <family val="3"/>
        <charset val="134"/>
        <scheme val="minor"/>
      </rPr>
      <t>产</t>
    </r>
    <r>
      <rPr>
        <sz val="11"/>
        <color theme="1"/>
        <rFont val="ＭＳ Ｐゴシック"/>
        <family val="3"/>
        <charset val="128"/>
        <scheme val="minor"/>
      </rPr>
      <t>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</si>
  <si>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威士忌;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</si>
  <si>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金符易圣</t>
  </si>
  <si>
    <r>
      <t>杜</t>
    </r>
    <r>
      <rPr>
        <sz val="11"/>
        <color theme="1"/>
        <rFont val="ＭＳ Ｐゴシック"/>
        <family val="3"/>
        <charset val="134"/>
        <scheme val="minor"/>
      </rPr>
      <t>凤</t>
    </r>
    <r>
      <rPr>
        <sz val="11"/>
        <color theme="1"/>
        <rFont val="ＭＳ Ｐゴシック"/>
        <family val="3"/>
        <charset val="128"/>
        <scheme val="minor"/>
      </rPr>
      <t>利******************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</si>
  <si>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清酒（日本米酒）; 伏特加酒; 果酒;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威士忌;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葡萄酒</t>
    </r>
  </si>
  <si>
    <r>
      <t>白酒; 米酒; 高粱酒;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利口酒;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酒（烈酒）; 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</t>
    </r>
  </si>
  <si>
    <r>
      <t>早</t>
    </r>
    <r>
      <rPr>
        <sz val="11"/>
        <color theme="1"/>
        <rFont val="ＭＳ Ｐゴシック"/>
        <family val="3"/>
        <charset val="134"/>
        <scheme val="minor"/>
      </rPr>
      <t>诺</t>
    </r>
    <r>
      <rPr>
        <sz val="11"/>
        <color theme="1"/>
        <rFont val="ＭＳ Ｐゴシック"/>
        <family val="3"/>
        <charset val="128"/>
        <scheme val="minor"/>
      </rPr>
      <t xml:space="preserve"> EARLY PROMISE</t>
    </r>
  </si>
  <si>
    <t>蒋北松</t>
  </si>
  <si>
    <r>
      <t>开胃酒; 食用酒精; 露酒; 葡萄酒; 米酒; 伏特加酒; 果酒（含酒精）; 蜂蜜酒;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</si>
  <si>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米酒; 果酒; 利口酒;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白酒;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高粱酒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</si>
  <si>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伏特加酒; 米酒;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果酒（含酒精）; 威士忌; 白酒</t>
    </r>
  </si>
  <si>
    <r>
      <t>御</t>
    </r>
    <r>
      <rPr>
        <sz val="11"/>
        <color theme="1"/>
        <rFont val="ＭＳ Ｐゴシック"/>
        <family val="3"/>
        <charset val="134"/>
        <scheme val="minor"/>
      </rPr>
      <t>储</t>
    </r>
    <r>
      <rPr>
        <sz val="11"/>
        <color theme="1"/>
        <rFont val="ＭＳ Ｐゴシック"/>
        <family val="3"/>
        <charset val="128"/>
        <scheme val="minor"/>
      </rPr>
      <t>美</t>
    </r>
  </si>
  <si>
    <r>
      <t>白酒;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青稞酒;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</t>
    </r>
  </si>
  <si>
    <t>郑酿郑</t>
  </si>
  <si>
    <r>
      <t>皇</t>
    </r>
    <r>
      <rPr>
        <sz val="11"/>
        <color theme="1"/>
        <rFont val="ＭＳ Ｐゴシック"/>
        <family val="3"/>
        <charset val="134"/>
        <scheme val="minor"/>
      </rPr>
      <t>狮</t>
    </r>
    <r>
      <rPr>
        <sz val="11"/>
        <color theme="1"/>
        <rFont val="ＭＳ Ｐゴシック"/>
        <family val="3"/>
        <charset val="128"/>
        <scheme val="minor"/>
      </rPr>
      <t>投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管理（上海）有限公司</t>
    </r>
  </si>
  <si>
    <r>
      <t>米酒; 果酒（含酒精）;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威士忌;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</si>
  <si>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五洲</t>
    </r>
    <r>
      <rPr>
        <sz val="11"/>
        <color theme="1"/>
        <rFont val="ＭＳ Ｐゴシック"/>
        <family val="3"/>
        <charset val="134"/>
        <scheme val="minor"/>
      </rPr>
      <t>荟</t>
    </r>
  </si>
  <si>
    <r>
      <t>海南守</t>
    </r>
    <r>
      <rPr>
        <sz val="11"/>
        <color theme="1"/>
        <rFont val="ＭＳ Ｐゴシック"/>
        <family val="3"/>
        <charset val="134"/>
        <scheme val="minor"/>
      </rPr>
      <t>创</t>
    </r>
    <r>
      <rPr>
        <sz val="11"/>
        <color theme="1"/>
        <rFont val="ＭＳ Ｐゴシック"/>
        <family val="3"/>
        <charset val="128"/>
        <scheme val="minor"/>
      </rPr>
      <t>投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</si>
  <si>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利口酒;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食用酒精; 葡萄酒;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</t>
    </r>
  </si>
  <si>
    <t>将甲一号</t>
  </si>
  <si>
    <r>
      <t>米酒; 白酒; 黄酒; 开胃酒;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葡萄酒; 威士忌;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</si>
  <si>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花樽舞</t>
  </si>
  <si>
    <r>
      <t>葡萄酒; 米酒;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果酒（含酒精）; 黄酒; 清酒; 烈酒;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露酒</t>
    </r>
  </si>
  <si>
    <t>LIZHOUTANGJING</t>
  </si>
  <si>
    <r>
      <t>永康市花川塘景</t>
    </r>
    <r>
      <rPr>
        <sz val="11"/>
        <color theme="1"/>
        <rFont val="ＭＳ Ｐゴシック"/>
        <family val="3"/>
        <charset val="134"/>
        <scheme val="minor"/>
      </rPr>
      <t>农业发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</si>
  <si>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亚</t>
    </r>
    <r>
      <rPr>
        <sz val="11"/>
        <color theme="1"/>
        <rFont val="ＭＳ Ｐゴシック"/>
        <family val="3"/>
        <charset val="128"/>
        <scheme val="minor"/>
      </rPr>
      <t>力酒; 葡萄酒; 黄酒; 餐后酒（利口酒和烈酒）;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清酒（日本米酒）;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蜂蜜酒; 米酒</t>
    </r>
  </si>
  <si>
    <r>
      <t>嗷</t>
    </r>
    <r>
      <rPr>
        <sz val="11"/>
        <color theme="1"/>
        <rFont val="ＭＳ Ｐゴシック"/>
        <family val="3"/>
        <charset val="134"/>
        <scheme val="minor"/>
      </rPr>
      <t>呜</t>
    </r>
    <r>
      <rPr>
        <sz val="11"/>
        <color theme="1"/>
        <rFont val="ＭＳ Ｐゴシック"/>
        <family val="3"/>
        <charset val="128"/>
        <scheme val="minor"/>
      </rPr>
      <t>小虎</t>
    </r>
  </si>
  <si>
    <r>
      <t>长</t>
    </r>
    <r>
      <rPr>
        <sz val="11"/>
        <color theme="1"/>
        <rFont val="ＭＳ Ｐゴシック"/>
        <family val="3"/>
        <charset val="128"/>
        <scheme val="minor"/>
      </rPr>
      <t>沙虎家食品科技有限公司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</si>
  <si>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果酒（含酒精）; 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</si>
  <si>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蝶岸</t>
  </si>
  <si>
    <r>
      <t>江西花果山玫瑰特色小</t>
    </r>
    <r>
      <rPr>
        <sz val="11"/>
        <color theme="1"/>
        <rFont val="ＭＳ Ｐゴシック"/>
        <family val="3"/>
        <charset val="134"/>
        <scheme val="minor"/>
      </rPr>
      <t>镇农业</t>
    </r>
    <r>
      <rPr>
        <sz val="11"/>
        <color theme="1"/>
        <rFont val="ＭＳ Ｐゴシック"/>
        <family val="3"/>
        <charset val="128"/>
        <scheme val="minor"/>
      </rPr>
      <t>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</si>
  <si>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白酒; 汽酒;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酒（烈酒）; 米酒; 甜酒;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高粱酒;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</si>
  <si>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天欣旺</t>
  </si>
  <si>
    <r>
      <t>张</t>
    </r>
    <r>
      <rPr>
        <sz val="11"/>
        <color theme="1"/>
        <rFont val="ＭＳ Ｐゴシック"/>
        <family val="3"/>
        <charset val="128"/>
        <scheme val="minor"/>
      </rPr>
      <t>常青</t>
    </r>
  </si>
  <si>
    <r>
      <t>白酒;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黄酒; 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食用酒精</t>
    </r>
  </si>
  <si>
    <r>
      <t>葡萄酒;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汽酒;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</t>
    </r>
  </si>
  <si>
    <t>子均金利海</t>
  </si>
  <si>
    <t>林宇峰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</si>
  <si>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葡萄酒; 果酒（含酒精）; 米酒; 茴香酒; 威士忌; 开胃酒;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</si>
  <si>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逍遥画派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</si>
  <si>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黄酒; 果酒（含酒精）; 餐后酒（利口酒和烈酒）; 青稞酒; 白酒;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</t>
    </r>
  </si>
  <si>
    <t>村</t>
  </si>
  <si>
    <r>
      <t>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米酒;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酒（烈酒）;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高粱酒; 利口酒; 葡萄酒</t>
    </r>
  </si>
  <si>
    <t>光云醉</t>
  </si>
  <si>
    <r>
      <t>果酒（含酒精）; 露酒;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米酒; 烈酒; 清酒; 白酒; 葡萄酒;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</si>
  <si>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王徐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坊</t>
    </r>
  </si>
  <si>
    <r>
      <t>葡萄酒; 开胃酒; 清酒（日本米酒）; 米酒;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日本梅子酒; 威士忌; 日式甜米酒; 清酒</t>
    </r>
  </si>
  <si>
    <r>
      <t>红绫</t>
    </r>
    <r>
      <rPr>
        <sz val="11"/>
        <color theme="1"/>
        <rFont val="ＭＳ Ｐゴシック"/>
        <family val="3"/>
        <charset val="128"/>
        <scheme val="minor"/>
      </rPr>
      <t>女</t>
    </r>
  </si>
  <si>
    <t>袁子俊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</si>
  <si>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白酒;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</t>
    </r>
  </si>
  <si>
    <t>元气岭</t>
  </si>
  <si>
    <r>
      <t>山西伊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惠</t>
    </r>
    <r>
      <rPr>
        <sz val="11"/>
        <color theme="1"/>
        <rFont val="ＭＳ Ｐゴシック"/>
        <family val="3"/>
        <charset val="134"/>
        <scheme val="minor"/>
      </rPr>
      <t>电</t>
    </r>
    <r>
      <rPr>
        <sz val="11"/>
        <color theme="1"/>
        <rFont val="ＭＳ Ｐゴシック"/>
        <family val="3"/>
        <charset val="128"/>
        <scheme val="minor"/>
      </rPr>
      <t>子商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</si>
  <si>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米酒; 白酒; 汽酒;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甜酒; 葡萄酒; 青稞酒; 黄酒; 果酒;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</si>
  <si>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东</t>
    </r>
    <r>
      <rPr>
        <sz val="11"/>
        <color theme="1"/>
        <rFont val="ＭＳ Ｐゴシック"/>
        <family val="3"/>
        <charset val="128"/>
        <scheme val="minor"/>
      </rPr>
      <t>粮益家</t>
    </r>
  </si>
  <si>
    <r>
      <t>内蒙古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粮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易投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</si>
  <si>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白酒; 果酒（含酒精）; 蜂蜜酒; 薄荷酒;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开胃酒; 葡萄酒;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苦味酒</t>
    </r>
  </si>
  <si>
    <t>冷极林海源</t>
  </si>
  <si>
    <r>
      <t>根河市林海源野生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源开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</si>
  <si>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 xml:space="preserve">米酒; 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露酒;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伏特加酒; 汽酒; 白酒</t>
    </r>
  </si>
  <si>
    <t>樽水河</t>
  </si>
  <si>
    <r>
      <t xml:space="preserve">葡萄酒; 白酒; 开胃酒;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蜂蜜酒;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清酒（日本米酒）</t>
    </r>
  </si>
  <si>
    <t>渝盒子</t>
  </si>
  <si>
    <r>
      <t>重</t>
    </r>
    <r>
      <rPr>
        <sz val="11"/>
        <color theme="1"/>
        <rFont val="ＭＳ Ｐゴシック"/>
        <family val="3"/>
        <charset val="134"/>
        <scheme val="minor"/>
      </rPr>
      <t>庆</t>
    </r>
    <r>
      <rPr>
        <sz val="11"/>
        <color theme="1"/>
        <rFont val="ＭＳ Ｐゴシック"/>
        <family val="3"/>
        <charset val="128"/>
        <scheme val="minor"/>
      </rPr>
      <t>博</t>
    </r>
    <r>
      <rPr>
        <sz val="11"/>
        <color theme="1"/>
        <rFont val="ＭＳ Ｐゴシック"/>
        <family val="3"/>
        <charset val="134"/>
        <scheme val="minor"/>
      </rPr>
      <t>观</t>
    </r>
    <r>
      <rPr>
        <sz val="11"/>
        <color theme="1"/>
        <rFont val="ＭＳ Ｐゴシック"/>
        <family val="3"/>
        <charset val="128"/>
        <scheme val="minor"/>
      </rPr>
      <t>达智品牌</t>
    </r>
    <r>
      <rPr>
        <sz val="11"/>
        <color theme="1"/>
        <rFont val="ＭＳ Ｐゴシック"/>
        <family val="3"/>
        <charset val="134"/>
        <scheme val="minor"/>
      </rPr>
      <t>营销</t>
    </r>
    <r>
      <rPr>
        <sz val="11"/>
        <color theme="1"/>
        <rFont val="ＭＳ Ｐゴシック"/>
        <family val="3"/>
        <charset val="128"/>
        <scheme val="minor"/>
      </rPr>
      <t>策划有限公司</t>
    </r>
  </si>
  <si>
    <r>
      <t>威士忌; 食用酒精;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苹果酒; 黄酒; 葡萄酒</t>
    </r>
  </si>
  <si>
    <r>
      <t>惠州市虫二侍茶餐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</si>
  <si>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蜂蜜酒; 薄荷酒;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果酒（含酒精）; 餐后酒（利口酒和烈酒）; 威士忌;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</si>
  <si>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t>隆霆运粮河</t>
  </si>
  <si>
    <r>
      <t>北京运粮河酒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</si>
  <si>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米酒; 青稞酒; 葡萄酒;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</si>
  <si>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澜</t>
    </r>
    <r>
      <rPr>
        <sz val="11"/>
        <color theme="1"/>
        <rFont val="ＭＳ Ｐゴシック"/>
        <family val="3"/>
        <charset val="128"/>
        <scheme val="minor"/>
      </rPr>
      <t>奉帝</t>
    </r>
  </si>
  <si>
    <r>
      <t>张</t>
    </r>
    <r>
      <rPr>
        <sz val="11"/>
        <color theme="1"/>
        <rFont val="ＭＳ Ｐゴシック"/>
        <family val="3"/>
        <charset val="128"/>
        <scheme val="minor"/>
      </rPr>
      <t>志学</t>
    </r>
  </si>
  <si>
    <r>
      <t>米酒; 果酒（含酒精）; 白酒; 梅酒;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清酒（日本米酒）; 高粱酒;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</si>
  <si>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亨富酒王</t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</si>
  <si>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汽酒;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果酒（含酒精）</t>
    </r>
  </si>
  <si>
    <r>
      <t>邮</t>
    </r>
    <r>
      <rPr>
        <sz val="11"/>
        <color theme="1"/>
        <rFont val="ＭＳ Ｐゴシック"/>
        <family val="3"/>
        <charset val="128"/>
        <scheme val="minor"/>
      </rPr>
      <t>元素</t>
    </r>
  </si>
  <si>
    <t>内蒙古青云米品零售有限公司</t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</si>
  <si>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食用酒精; 白酒; 葡萄酒; 黄酒;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果酒; 利口酒;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</t>
    </r>
  </si>
  <si>
    <t>南封</t>
  </si>
  <si>
    <r>
      <t>罗</t>
    </r>
    <r>
      <rPr>
        <sz val="11"/>
        <color theme="1"/>
        <rFont val="ＭＳ Ｐゴシック"/>
        <family val="3"/>
        <charset val="128"/>
        <scheme val="minor"/>
      </rPr>
      <t>虎</t>
    </r>
  </si>
  <si>
    <r>
      <t>白酒; 葡萄酒;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蒸煮提取物（利口酒和烈酒）;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果酒; 清酒; 露酒</t>
    </r>
  </si>
  <si>
    <t>喜得威</t>
  </si>
  <si>
    <r>
      <t>广州普</t>
    </r>
    <r>
      <rPr>
        <sz val="11"/>
        <color theme="1"/>
        <rFont val="ＭＳ Ｐゴシック"/>
        <family val="3"/>
        <charset val="134"/>
        <scheme val="minor"/>
      </rPr>
      <t>恺图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业进</t>
    </r>
    <r>
      <rPr>
        <sz val="11"/>
        <color theme="1"/>
        <rFont val="ＭＳ Ｐゴシック"/>
        <family val="3"/>
        <charset val="128"/>
        <scheme val="minor"/>
      </rPr>
      <t>出口有限公司</t>
    </r>
  </si>
  <si>
    <r>
      <t>威士忌; 黄酒; 梅酒;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清酒（日本米酒）; 果酒; 白酒; 烈酒; 葡萄酒; 清酒</t>
    </r>
  </si>
  <si>
    <t>粤有礼</t>
  </si>
  <si>
    <r>
      <t>广州市梁向昭西村窑陶瓷</t>
    </r>
    <r>
      <rPr>
        <sz val="11"/>
        <color theme="1"/>
        <rFont val="ＭＳ Ｐゴシック"/>
        <family val="3"/>
        <charset val="134"/>
        <scheme val="minor"/>
      </rPr>
      <t>艺术</t>
    </r>
    <r>
      <rPr>
        <sz val="11"/>
        <color theme="1"/>
        <rFont val="ＭＳ Ｐゴシック"/>
        <family val="3"/>
        <charset val="128"/>
        <scheme val="minor"/>
      </rPr>
      <t>研究院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</si>
  <si>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米酒;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蒸煮提取物（利口酒和烈酒）; 白酒</t>
    </r>
  </si>
  <si>
    <t>MAGIC YEARS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</si>
  <si>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威士忌; 开胃酒; 米酒; 葡萄酒; 黄酒; 食用酒精; 果酒;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</si>
  <si>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西井南将</t>
  </si>
  <si>
    <r>
      <t>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高粱酒; 米酒;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蒸煮提取物（利口酒和烈酒）;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苹果酒;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</t>
    </r>
  </si>
  <si>
    <r>
      <t>鑫宗青</t>
    </r>
    <r>
      <rPr>
        <sz val="11"/>
        <color theme="1"/>
        <rFont val="ＭＳ Ｐゴシック"/>
        <family val="3"/>
        <charset val="134"/>
        <scheme val="minor"/>
      </rPr>
      <t>农业</t>
    </r>
  </si>
  <si>
    <r>
      <t>北京鑫宗青</t>
    </r>
    <r>
      <rPr>
        <sz val="11"/>
        <color theme="1"/>
        <rFont val="ＭＳ Ｐゴシック"/>
        <family val="3"/>
        <charset val="134"/>
        <scheme val="minor"/>
      </rPr>
      <t>农业</t>
    </r>
    <r>
      <rPr>
        <sz val="11"/>
        <color theme="1"/>
        <rFont val="ＭＳ Ｐゴシック"/>
        <family val="3"/>
        <charset val="128"/>
        <scheme val="minor"/>
      </rPr>
      <t>科技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</si>
  <si>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葡萄酒;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清酒（日本米酒）; 开胃酒; 朗姆酒; 威士忌; 伏特加酒; 蒸煮提取物（利口酒和烈酒）;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</si>
  <si>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翠</t>
    </r>
    <r>
      <rPr>
        <sz val="11"/>
        <color theme="1"/>
        <rFont val="ＭＳ Ｐゴシック"/>
        <family val="3"/>
        <charset val="134"/>
        <scheme val="minor"/>
      </rPr>
      <t>风</t>
    </r>
    <r>
      <rPr>
        <sz val="11"/>
        <color theme="1"/>
        <rFont val="ＭＳ Ｐゴシック"/>
        <family val="3"/>
        <charset val="128"/>
        <scheme val="minor"/>
      </rPr>
      <t>亭</t>
    </r>
  </si>
  <si>
    <r>
      <t>果酒（含酒精）;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葡萄酒; 黄酒; 烈酒; 清酒;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露酒</t>
    </r>
  </si>
  <si>
    <t>朝阳格格</t>
  </si>
  <si>
    <r>
      <t>白酒;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蒸煮提取物（利口酒和烈酒）; 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食用酒精; 葡萄酒;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</si>
  <si>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丽</t>
    </r>
    <r>
      <rPr>
        <sz val="11"/>
        <color theme="1"/>
        <rFont val="ＭＳ Ｐゴシック"/>
        <family val="3"/>
        <charset val="128"/>
        <scheme val="minor"/>
      </rPr>
      <t>州塘景</t>
    </r>
  </si>
  <si>
    <r>
      <t>亚</t>
    </r>
    <r>
      <rPr>
        <sz val="11"/>
        <color theme="1"/>
        <rFont val="ＭＳ Ｐゴシック"/>
        <family val="3"/>
        <charset val="128"/>
        <scheme val="minor"/>
      </rPr>
      <t>力酒; 葡萄酒; 黄酒;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蜂蜜酒; 餐后酒（利口酒和烈酒）; 果酒（含酒精）</t>
    </r>
  </si>
  <si>
    <t>雷雨垂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</si>
  <si>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威士忌; 青稞酒; 黄酒; 葡萄酒; 汽酒; 清酒（日本米酒）;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</si>
  <si>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酒（烈酒）;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利口酒;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高粱酒;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果酒; 葡萄酒; 米酒</t>
    </r>
  </si>
  <si>
    <t>瓢庭</t>
  </si>
  <si>
    <r>
      <t>支炳</t>
    </r>
    <r>
      <rPr>
        <sz val="11"/>
        <color theme="1"/>
        <rFont val="ＭＳ Ｐゴシック"/>
        <family val="3"/>
        <charset val="129"/>
        <scheme val="minor"/>
      </rPr>
      <t>胜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</si>
  <si>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葡萄酒; 威士忌;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果酒（含酒精）; 清酒（日本米酒）;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</t>
    </r>
  </si>
  <si>
    <r>
      <t>杰</t>
    </r>
    <r>
      <rPr>
        <sz val="11"/>
        <color theme="1"/>
        <rFont val="ＭＳ Ｐゴシック"/>
        <family val="3"/>
        <charset val="134"/>
        <scheme val="minor"/>
      </rPr>
      <t>觅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</si>
  <si>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蜂蜜酒; 果酒; 甜酒; 白酒; 汽酒; 酸酒（低等葡萄酒）;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露酒</t>
    </r>
  </si>
  <si>
    <r>
      <t>蜂蜜酒; 蝮蛇酒; 刺五加酒; 甜酒; 五加皮酒（中国混合烈酒）;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利口酒;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佐餐酒</t>
    </r>
  </si>
  <si>
    <r>
      <t>通臂武</t>
    </r>
    <r>
      <rPr>
        <sz val="11"/>
        <color theme="1"/>
        <rFont val="ＭＳ Ｐゴシック"/>
        <family val="3"/>
        <charset val="134"/>
        <scheme val="minor"/>
      </rPr>
      <t>缘</t>
    </r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</si>
  <si>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青稞酒; 黄酒; 葡萄酒; 果酒（含酒精）; 餐后酒（利口酒和烈酒）;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</si>
  <si>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渔</t>
    </r>
    <r>
      <rPr>
        <sz val="11"/>
        <color theme="1"/>
        <rFont val="ＭＳ Ｐゴシック"/>
        <family val="3"/>
        <charset val="128"/>
        <scheme val="minor"/>
      </rPr>
      <t>歌子</t>
    </r>
  </si>
  <si>
    <r>
      <t>苏</t>
    </r>
    <r>
      <rPr>
        <sz val="11"/>
        <color theme="1"/>
        <rFont val="ＭＳ Ｐゴシック"/>
        <family val="3"/>
        <charset val="128"/>
        <scheme val="minor"/>
      </rPr>
      <t>州正瑞霆商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</si>
  <si>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黄酒; 果酒（含酒精）; 葡萄酒</t>
    </r>
  </si>
  <si>
    <t>竹福擂</t>
  </si>
  <si>
    <t>周武</t>
  </si>
  <si>
    <r>
      <t>果酒（含酒精）; 白酒;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葡萄酒; 食用酒精;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</t>
    </r>
  </si>
  <si>
    <r>
      <t>商</t>
    </r>
    <r>
      <rPr>
        <sz val="11"/>
        <color theme="1"/>
        <rFont val="ＭＳ Ｐゴシック"/>
        <family val="3"/>
        <charset val="134"/>
        <scheme val="minor"/>
      </rPr>
      <t>领</t>
    </r>
  </si>
  <si>
    <r>
      <t>白酒;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米酒; 汽酒; 威士忌; 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甜酒</t>
    </r>
  </si>
  <si>
    <t>SPRITZ DEL CONTE</t>
  </si>
  <si>
    <r>
      <t>圣安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尼奥葡萄酒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造有限公司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</si>
  <si>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</si>
  <si>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A SI MU FMST</t>
  </si>
  <si>
    <r>
      <t>亚</t>
    </r>
    <r>
      <rPr>
        <sz val="11"/>
        <color theme="1"/>
        <rFont val="ＭＳ Ｐゴシック"/>
        <family val="3"/>
        <charset val="128"/>
        <scheme val="minor"/>
      </rPr>
      <t>音</t>
    </r>
    <r>
      <rPr>
        <sz val="11"/>
        <color theme="1"/>
        <rFont val="ＭＳ Ｐゴシック"/>
        <family val="3"/>
        <charset val="134"/>
        <scheme val="minor"/>
      </rPr>
      <t>娱</t>
    </r>
    <r>
      <rPr>
        <sz val="11"/>
        <color theme="1"/>
        <rFont val="ＭＳ Ｐゴシック"/>
        <family val="3"/>
        <charset val="128"/>
        <scheme val="minor"/>
      </rPr>
      <t>改科技（深圳）有限公司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</si>
  <si>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黄酒; 白酒; 果酒（含酒精）; 食用酒精; 威士忌; 葡萄酒; 朗姆酒; 伏特加酒</t>
    </r>
  </si>
  <si>
    <t>伯特安尼</t>
  </si>
  <si>
    <r>
      <t>漳州伯特安尼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</si>
  <si>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白干酒（中国白酒）; 白酒; 麦芽威士忌; 汽酒; 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威士忌; 葡萄酒</t>
    </r>
  </si>
  <si>
    <t>共享明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</si>
  <si>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市明府家酒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</si>
  <si>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烈酒; 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白干酒（中国白酒）; 高粱酒;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</si>
  <si>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小名有礼</t>
  </si>
  <si>
    <r>
      <t>乐</t>
    </r>
    <r>
      <rPr>
        <sz val="11"/>
        <color theme="1"/>
        <rFont val="ＭＳ Ｐゴシック"/>
        <family val="3"/>
        <charset val="128"/>
        <scheme val="minor"/>
      </rPr>
      <t>家</t>
    </r>
    <r>
      <rPr>
        <sz val="11"/>
        <color theme="1"/>
        <rFont val="ＭＳ Ｐゴシック"/>
        <family val="3"/>
        <charset val="134"/>
        <scheme val="minor"/>
      </rPr>
      <t>创库</t>
    </r>
    <r>
      <rPr>
        <sz val="11"/>
        <color theme="1"/>
        <rFont val="ＭＳ Ｐゴシック"/>
        <family val="3"/>
        <charset val="128"/>
        <scheme val="minor"/>
      </rPr>
      <t>（深圳）供</t>
    </r>
    <r>
      <rPr>
        <sz val="11"/>
        <color theme="1"/>
        <rFont val="ＭＳ Ｐゴシック"/>
        <family val="3"/>
        <charset val="134"/>
        <scheme val="minor"/>
      </rPr>
      <t>应链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</si>
  <si>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米酒; 白酒; 食用酒精;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清酒（日本米酒）; 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伏特加酒</t>
    </r>
  </si>
  <si>
    <r>
      <t>卡</t>
    </r>
    <r>
      <rPr>
        <sz val="11"/>
        <color theme="1"/>
        <rFont val="ＭＳ Ｐゴシック"/>
        <family val="3"/>
        <charset val="134"/>
        <scheme val="minor"/>
      </rPr>
      <t>尔</t>
    </r>
    <r>
      <rPr>
        <sz val="11"/>
        <color theme="1"/>
        <rFont val="ＭＳ Ｐゴシック"/>
        <family val="3"/>
        <charset val="128"/>
        <scheme val="minor"/>
      </rPr>
      <t>本茨</t>
    </r>
  </si>
  <si>
    <t>晏林</t>
  </si>
  <si>
    <r>
      <t>米酒; 清酒（日本米酒）;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葡萄酒; 白酒; 威士忌;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</t>
    </r>
  </si>
  <si>
    <r>
      <t>兰</t>
    </r>
    <r>
      <rPr>
        <sz val="11"/>
        <color theme="1"/>
        <rFont val="ＭＳ Ｐゴシック"/>
        <family val="3"/>
        <charset val="128"/>
        <scheme val="minor"/>
      </rPr>
      <t>亭宴集章</t>
    </r>
  </si>
  <si>
    <r>
      <t>四川酒玖</t>
    </r>
    <r>
      <rPr>
        <sz val="11"/>
        <color theme="1"/>
        <rFont val="ＭＳ Ｐゴシック"/>
        <family val="3"/>
        <charset val="134"/>
        <scheme val="minor"/>
      </rPr>
      <t>汇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</si>
  <si>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米酒;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清酒（日本米酒）;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</t>
    </r>
  </si>
  <si>
    <t>醇墨梦都</t>
  </si>
  <si>
    <r>
      <t>深圳市</t>
    </r>
    <r>
      <rPr>
        <sz val="11"/>
        <color theme="1"/>
        <rFont val="ＭＳ Ｐゴシック"/>
        <family val="3"/>
        <charset val="134"/>
        <scheme val="minor"/>
      </rPr>
      <t>汇</t>
    </r>
    <r>
      <rPr>
        <sz val="11"/>
        <color theme="1"/>
        <rFont val="ＭＳ Ｐゴシック"/>
        <family val="3"/>
        <charset val="128"/>
        <scheme val="minor"/>
      </rPr>
      <t>霖瑞科技有限公司</t>
    </r>
  </si>
  <si>
    <r>
      <t>餐后酒（利口酒和烈酒）; 米酒; 果酒（含酒精）; 含酒精的气泡水; 青稞酒;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白酒; 葡萄酒;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</si>
  <si>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拉</t>
    </r>
    <r>
      <rPr>
        <sz val="11"/>
        <color theme="1"/>
        <rFont val="ＭＳ Ｐゴシック"/>
        <family val="3"/>
        <charset val="134"/>
        <scheme val="minor"/>
      </rPr>
      <t>蓝</t>
    </r>
    <r>
      <rPr>
        <sz val="11"/>
        <color theme="1"/>
        <rFont val="ＭＳ Ｐゴシック"/>
        <family val="3"/>
        <charset val="128"/>
        <scheme val="minor"/>
      </rPr>
      <t>黛庄园</t>
    </r>
  </si>
  <si>
    <r>
      <t>巡酒网</t>
    </r>
    <r>
      <rPr>
        <sz val="11"/>
        <color theme="1"/>
        <rFont val="ＭＳ Ｐゴシック"/>
        <family val="3"/>
        <charset val="134"/>
        <scheme val="minor"/>
      </rPr>
      <t>络</t>
    </r>
    <r>
      <rPr>
        <sz val="11"/>
        <color theme="1"/>
        <rFont val="ＭＳ Ｐゴシック"/>
        <family val="3"/>
        <charset val="128"/>
        <scheme val="minor"/>
      </rPr>
      <t>（上海）有限公司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</si>
  <si>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伏特加酒; 威士忌; 蒸煮提取物（利口酒和烈酒）; 开胃酒;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</t>
    </r>
  </si>
  <si>
    <r>
      <t>楚</t>
    </r>
    <r>
      <rPr>
        <sz val="11"/>
        <color theme="1"/>
        <rFont val="ＭＳ Ｐゴシック"/>
        <family val="3"/>
        <charset val="134"/>
        <scheme val="minor"/>
      </rPr>
      <t>鸣</t>
    </r>
    <r>
      <rPr>
        <sz val="11"/>
        <color theme="1"/>
        <rFont val="ＭＳ Ｐゴシック"/>
        <family val="3"/>
        <charset val="128"/>
        <scheme val="minor"/>
      </rPr>
      <t>春</t>
    </r>
  </si>
  <si>
    <r>
      <t>监</t>
    </r>
    <r>
      <rPr>
        <sz val="11"/>
        <color theme="1"/>
        <rFont val="ＭＳ Ｐゴシック"/>
        <family val="3"/>
        <charset val="128"/>
        <scheme val="minor"/>
      </rPr>
      <t>利</t>
    </r>
    <r>
      <rPr>
        <sz val="11"/>
        <color theme="1"/>
        <rFont val="ＭＳ Ｐゴシック"/>
        <family val="3"/>
        <charset val="134"/>
        <scheme val="minor"/>
      </rPr>
      <t>锦绣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</si>
  <si>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 xml:space="preserve">苦味酒;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白酒;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薄荷酒; 葡萄酒; 清酒（日本米酒）</t>
    </r>
  </si>
  <si>
    <r>
      <t>欢</t>
    </r>
    <r>
      <rPr>
        <sz val="11"/>
        <color theme="1"/>
        <rFont val="ＭＳ Ｐゴシック"/>
        <family val="3"/>
        <charset val="128"/>
        <scheme val="minor"/>
      </rPr>
      <t>来</t>
    </r>
    <r>
      <rPr>
        <sz val="11"/>
        <color theme="1"/>
        <rFont val="ＭＳ Ｐゴシック"/>
        <family val="3"/>
        <charset val="134"/>
        <scheme val="minor"/>
      </rPr>
      <t>顺</t>
    </r>
  </si>
  <si>
    <r>
      <t>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食用酒精; 威士忌; 青稞酒; 果酒（含酒精）;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</si>
  <si>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集</t>
    </r>
    <r>
      <rPr>
        <sz val="11"/>
        <color theme="1"/>
        <rFont val="ＭＳ Ｐゴシック"/>
        <family val="3"/>
        <charset val="129"/>
        <scheme val="minor"/>
      </rPr>
      <t>洺</t>
    </r>
    <r>
      <rPr>
        <sz val="11"/>
        <color theme="1"/>
        <rFont val="ＭＳ Ｐゴシック"/>
        <family val="3"/>
        <charset val="134"/>
        <scheme val="minor"/>
      </rPr>
      <t>阁</t>
    </r>
  </si>
  <si>
    <r>
      <t>遵</t>
    </r>
    <r>
      <rPr>
        <sz val="11"/>
        <color theme="1"/>
        <rFont val="ＭＳ Ｐゴシック"/>
        <family val="3"/>
        <charset val="134"/>
        <scheme val="minor"/>
      </rPr>
      <t>义</t>
    </r>
    <r>
      <rPr>
        <sz val="11"/>
        <color theme="1"/>
        <rFont val="ＭＳ Ｐゴシック"/>
        <family val="3"/>
        <charset val="128"/>
        <scheme val="minor"/>
      </rPr>
      <t>市集</t>
    </r>
    <r>
      <rPr>
        <sz val="11"/>
        <color theme="1"/>
        <rFont val="ＭＳ Ｐゴシック"/>
        <family val="3"/>
        <charset val="129"/>
        <scheme val="minor"/>
      </rPr>
      <t>洺</t>
    </r>
    <r>
      <rPr>
        <sz val="11"/>
        <color theme="1"/>
        <rFont val="ＭＳ Ｐゴシック"/>
        <family val="3"/>
        <charset val="134"/>
        <scheme val="minor"/>
      </rPr>
      <t>阁</t>
    </r>
    <r>
      <rPr>
        <sz val="11"/>
        <color theme="1"/>
        <rFont val="ＭＳ Ｐゴシック"/>
        <family val="3"/>
        <charset val="128"/>
        <scheme val="minor"/>
      </rPr>
      <t>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</si>
  <si>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酒; 果酒; 开胃酒; 葡萄酒; 白干酒（中国白酒）; 五加皮酒（中国混合烈酒）;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</t>
    </r>
  </si>
  <si>
    <r>
      <t>马</t>
    </r>
    <r>
      <rPr>
        <sz val="11"/>
        <color theme="1"/>
        <rFont val="ＭＳ Ｐゴシック"/>
        <family val="3"/>
        <charset val="128"/>
        <scheme val="minor"/>
      </rPr>
      <t>寿</t>
    </r>
    <r>
      <rPr>
        <sz val="11"/>
        <color theme="1"/>
        <rFont val="ＭＳ Ｐゴシック"/>
        <family val="3"/>
        <charset val="134"/>
        <scheme val="minor"/>
      </rPr>
      <t>乡</t>
    </r>
  </si>
  <si>
    <r>
      <t>广西巴</t>
    </r>
    <r>
      <rPr>
        <sz val="11"/>
        <color theme="1"/>
        <rFont val="ＭＳ Ｐゴシック"/>
        <family val="3"/>
        <charset val="134"/>
        <scheme val="minor"/>
      </rPr>
      <t>马</t>
    </r>
    <r>
      <rPr>
        <sz val="11"/>
        <color theme="1"/>
        <rFont val="ＭＳ Ｐゴシック"/>
        <family val="3"/>
        <charset val="128"/>
        <scheme val="minor"/>
      </rPr>
      <t>寿山酒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</si>
  <si>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白酒; 清酒（日本米酒）;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</si>
  <si>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谷阳天</t>
  </si>
  <si>
    <r>
      <t>郑</t>
    </r>
    <r>
      <rPr>
        <sz val="11"/>
        <color theme="1"/>
        <rFont val="ＭＳ Ｐゴシック"/>
        <family val="3"/>
        <charset val="128"/>
        <scheme val="minor"/>
      </rPr>
      <t>州易美</t>
    </r>
    <r>
      <rPr>
        <sz val="11"/>
        <color theme="1"/>
        <rFont val="ＭＳ Ｐゴシック"/>
        <family val="3"/>
        <charset val="134"/>
        <scheme val="minor"/>
      </rPr>
      <t>软</t>
    </r>
    <r>
      <rPr>
        <sz val="11"/>
        <color theme="1"/>
        <rFont val="ＭＳ Ｐゴシック"/>
        <family val="3"/>
        <charset val="128"/>
        <scheme val="minor"/>
      </rPr>
      <t>件科技有限公司</t>
    </r>
  </si>
  <si>
    <r>
      <t>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蒸煮提取物（利口酒和烈酒）;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白酒; 果酒（含酒精）;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</si>
  <si>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永</t>
    </r>
    <r>
      <rPr>
        <sz val="11"/>
        <color theme="1"/>
        <rFont val="ＭＳ Ｐゴシック"/>
        <family val="3"/>
        <charset val="134"/>
        <scheme val="minor"/>
      </rPr>
      <t>乐</t>
    </r>
    <r>
      <rPr>
        <sz val="11"/>
        <color theme="1"/>
        <rFont val="ＭＳ Ｐゴシック"/>
        <family val="3"/>
        <charset val="128"/>
        <scheme val="minor"/>
      </rPr>
      <t>状元坊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</si>
  <si>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果酒（含酒精）; 汽酒; 食用酒精;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</t>
    </r>
  </si>
  <si>
    <t>袁宏道</t>
  </si>
  <si>
    <r>
      <t>湖北共品供</t>
    </r>
    <r>
      <rPr>
        <sz val="11"/>
        <color theme="1"/>
        <rFont val="ＭＳ Ｐゴシック"/>
        <family val="3"/>
        <charset val="134"/>
        <scheme val="minor"/>
      </rPr>
      <t>应链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</si>
  <si>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蜂蜜酒; 烈酒; 米酒; 开胃酒; 果酒; 青稞酒; 葡萄酒; 白酒;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</si>
  <si>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谈</t>
    </r>
    <r>
      <rPr>
        <sz val="11"/>
        <color theme="1"/>
        <rFont val="ＭＳ Ｐゴシック"/>
        <family val="3"/>
        <charset val="128"/>
        <scheme val="minor"/>
      </rPr>
      <t>云</t>
    </r>
    <r>
      <rPr>
        <sz val="11"/>
        <color theme="1"/>
        <rFont val="ＭＳ Ｐゴシック"/>
        <family val="3"/>
        <charset val="134"/>
        <scheme val="minor"/>
      </rPr>
      <t>间</t>
    </r>
  </si>
  <si>
    <r>
      <t>韦</t>
    </r>
    <r>
      <rPr>
        <sz val="11"/>
        <color theme="1"/>
        <rFont val="ＭＳ Ｐゴシック"/>
        <family val="3"/>
        <charset val="128"/>
        <scheme val="minor"/>
      </rPr>
      <t>明</t>
    </r>
    <r>
      <rPr>
        <sz val="11"/>
        <color theme="1"/>
        <rFont val="ＭＳ Ｐゴシック"/>
        <family val="3"/>
        <charset val="134"/>
        <scheme val="minor"/>
      </rPr>
      <t>础</t>
    </r>
  </si>
  <si>
    <r>
      <t>葡萄酒; 米酒; 清酒; 高粱酒; 烈酒; 果酒（含酒精）; 白酒; 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</si>
  <si>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r>
      <t>青山</t>
    </r>
    <r>
      <rPr>
        <sz val="11"/>
        <color theme="1"/>
        <rFont val="ＭＳ Ｐゴシック"/>
        <family val="3"/>
        <charset val="134"/>
        <scheme val="minor"/>
      </rPr>
      <t>贺</t>
    </r>
  </si>
  <si>
    <r>
      <t>罗</t>
    </r>
    <r>
      <rPr>
        <sz val="11"/>
        <color theme="1"/>
        <rFont val="ＭＳ Ｐゴシック"/>
        <family val="3"/>
        <charset val="128"/>
        <scheme val="minor"/>
      </rPr>
      <t>秋明</t>
    </r>
  </si>
  <si>
    <t>开胃酒; 高粱酒; 青稞酒; 青梅酒; 果酒; 黄酒; 葡萄酒; 米酒; 白酒; 果酒（含酒精）</t>
  </si>
  <si>
    <r>
      <t>谧</t>
    </r>
    <r>
      <rPr>
        <sz val="11"/>
        <color theme="1"/>
        <rFont val="ＭＳ Ｐゴシック"/>
        <family val="3"/>
        <charset val="128"/>
        <scheme val="minor"/>
      </rPr>
      <t>酌</t>
    </r>
  </si>
  <si>
    <r>
      <t>广西果</t>
    </r>
    <r>
      <rPr>
        <sz val="11"/>
        <color theme="1"/>
        <rFont val="ＭＳ Ｐゴシック"/>
        <family val="3"/>
        <charset val="134"/>
        <scheme val="minor"/>
      </rPr>
      <t>浆</t>
    </r>
    <r>
      <rPr>
        <sz val="11"/>
        <color theme="1"/>
        <rFont val="ＭＳ Ｐゴシック"/>
        <family val="3"/>
        <charset val="128"/>
        <scheme val="minor"/>
      </rPr>
      <t>食品有限公司</t>
    </r>
  </si>
  <si>
    <r>
      <t>黄酒; 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清酒（日本米酒）;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</si>
  <si>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肆歌</t>
  </si>
  <si>
    <r>
      <t>四川</t>
    </r>
    <r>
      <rPr>
        <sz val="11"/>
        <color theme="1"/>
        <rFont val="ＭＳ Ｐゴシック"/>
        <family val="3"/>
        <charset val="134"/>
        <scheme val="minor"/>
      </rPr>
      <t>领</t>
    </r>
    <r>
      <rPr>
        <sz val="11"/>
        <color theme="1"/>
        <rFont val="ＭＳ Ｐゴシック"/>
        <family val="3"/>
        <charset val="128"/>
        <scheme val="minor"/>
      </rPr>
      <t>先</t>
    </r>
    <r>
      <rPr>
        <sz val="11"/>
        <color theme="1"/>
        <rFont val="ＭＳ Ｐゴシック"/>
        <family val="3"/>
        <charset val="134"/>
        <scheme val="minor"/>
      </rPr>
      <t>时</t>
    </r>
    <r>
      <rPr>
        <sz val="11"/>
        <color theme="1"/>
        <rFont val="ＭＳ Ｐゴシック"/>
        <family val="3"/>
        <charset val="128"/>
        <scheme val="minor"/>
      </rPr>
      <t>代房地</t>
    </r>
    <r>
      <rPr>
        <sz val="11"/>
        <color theme="1"/>
        <rFont val="ＭＳ Ｐゴシック"/>
        <family val="3"/>
        <charset val="134"/>
        <scheme val="minor"/>
      </rPr>
      <t>产经纪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</si>
  <si>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开胃酒; 蜂蜜酒; 葡萄酒; 威士忌; 清酒; 果酒（含酒精）</t>
    </r>
  </si>
  <si>
    <t>聚祚</t>
  </si>
  <si>
    <r>
      <t>广州</t>
    </r>
    <r>
      <rPr>
        <sz val="11"/>
        <color theme="1"/>
        <rFont val="ＭＳ Ｐゴシック"/>
        <family val="3"/>
        <charset val="134"/>
        <scheme val="minor"/>
      </rPr>
      <t>叁</t>
    </r>
    <r>
      <rPr>
        <sz val="11"/>
        <color theme="1"/>
        <rFont val="ＭＳ Ｐゴシック"/>
        <family val="3"/>
        <charset val="128"/>
        <scheme val="minor"/>
      </rPr>
      <t>石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</si>
  <si>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 xml:space="preserve">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威士忌; 食用酒精</t>
    </r>
  </si>
  <si>
    <r>
      <t>羿百</t>
    </r>
    <r>
      <rPr>
        <sz val="11"/>
        <color theme="1"/>
        <rFont val="ＭＳ Ｐゴシック"/>
        <family val="3"/>
        <charset val="134"/>
        <scheme val="minor"/>
      </rPr>
      <t>环</t>
    </r>
  </si>
  <si>
    <r>
      <t>广西百</t>
    </r>
    <r>
      <rPr>
        <sz val="11"/>
        <color theme="1"/>
        <rFont val="ＭＳ Ｐゴシック"/>
        <family val="3"/>
        <charset val="134"/>
        <scheme val="minor"/>
      </rPr>
      <t>环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</si>
  <si>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白酒; 果酒（含酒精）; 开胃酒;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蜂蜜酒; 食用酒精; 米酒; 葡萄酒</t>
    </r>
  </si>
  <si>
    <r>
      <t>醉月</t>
    </r>
    <r>
      <rPr>
        <sz val="11"/>
        <color theme="1"/>
        <rFont val="ＭＳ Ｐゴシック"/>
        <family val="3"/>
        <charset val="134"/>
        <scheme val="minor"/>
      </rPr>
      <t>苏</t>
    </r>
  </si>
  <si>
    <r>
      <t>四川众</t>
    </r>
    <r>
      <rPr>
        <sz val="11"/>
        <color theme="1"/>
        <rFont val="ＭＳ Ｐゴシック"/>
        <family val="3"/>
        <charset val="134"/>
        <scheme val="minor"/>
      </rPr>
      <t>腾</t>
    </r>
    <r>
      <rPr>
        <sz val="11"/>
        <color theme="1"/>
        <rFont val="ＭＳ Ｐゴシック"/>
        <family val="3"/>
        <charset val="128"/>
        <scheme val="minor"/>
      </rPr>
      <t>慧成企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管理集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</si>
  <si>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白干酒（中国白酒）; 葡萄酒; 米酒; 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白酒; 清酒; 高粱酒</t>
    </r>
  </si>
  <si>
    <t>眉姐姐</t>
  </si>
  <si>
    <r>
      <t>重</t>
    </r>
    <r>
      <rPr>
        <sz val="11"/>
        <color theme="1"/>
        <rFont val="ＭＳ Ｐゴシック"/>
        <family val="3"/>
        <charset val="134"/>
        <scheme val="minor"/>
      </rPr>
      <t>庆</t>
    </r>
    <r>
      <rPr>
        <sz val="11"/>
        <color theme="1"/>
        <rFont val="ＭＳ Ｐゴシック"/>
        <family val="3"/>
        <charset val="128"/>
        <scheme val="minor"/>
      </rPr>
      <t>沈梅庄品牌管理有限公司</t>
    </r>
  </si>
  <si>
    <r>
      <t xml:space="preserve">烈酒;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开胃酒; 米酒; 威士忌; 黄酒; 葡萄酒</t>
    </r>
  </si>
  <si>
    <r>
      <t>天下</t>
    </r>
    <r>
      <rPr>
        <sz val="11"/>
        <color theme="1"/>
        <rFont val="ＭＳ Ｐゴシック"/>
        <family val="3"/>
        <charset val="134"/>
        <scheme val="minor"/>
      </rPr>
      <t>农垦</t>
    </r>
  </si>
  <si>
    <r>
      <t>广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广</t>
    </r>
    <r>
      <rPr>
        <sz val="11"/>
        <color theme="1"/>
        <rFont val="ＭＳ Ｐゴシック"/>
        <family val="3"/>
        <charset val="134"/>
        <scheme val="minor"/>
      </rPr>
      <t>垦农业发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</si>
  <si>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 xml:space="preserve">黄酒; 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桃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果酒（含酒精）; 白酒; 葡萄酒; 高粱酒; 米酒</t>
    </r>
  </si>
  <si>
    <t>来伊份 LYFEN SELECTION·精品店</t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</si>
  <si>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利口酒; 威士忌; 米酒; 黄酒; 葡萄酒; 果酒（含酒精）</t>
    </r>
  </si>
  <si>
    <t>夏粹酒庄 XIACUI WINERY</t>
  </si>
  <si>
    <r>
      <t>宁夏百</t>
    </r>
    <r>
      <rPr>
        <sz val="11"/>
        <color theme="1"/>
        <rFont val="ＭＳ Ｐゴシック"/>
        <family val="3"/>
        <charset val="134"/>
        <scheme val="minor"/>
      </rPr>
      <t>岁红</t>
    </r>
    <r>
      <rPr>
        <sz val="11"/>
        <color theme="1"/>
        <rFont val="ＭＳ Ｐゴシック"/>
        <family val="3"/>
        <charset val="128"/>
        <scheme val="minor"/>
      </rPr>
      <t>枸杞</t>
    </r>
    <r>
      <rPr>
        <sz val="11"/>
        <color theme="1"/>
        <rFont val="ＭＳ Ｐゴシック"/>
        <family val="3"/>
        <charset val="134"/>
        <scheme val="minor"/>
      </rPr>
      <t>产业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</si>
  <si>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露酒; 白酒; 白干酒（中国白酒）;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果酒; 烈酒; 桃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</t>
    </r>
  </si>
  <si>
    <r>
      <t>客</t>
    </r>
    <r>
      <rPr>
        <sz val="11"/>
        <color theme="1"/>
        <rFont val="ＭＳ Ｐゴシック"/>
        <family val="3"/>
        <charset val="134"/>
        <scheme val="minor"/>
      </rPr>
      <t>亿</t>
    </r>
    <r>
      <rPr>
        <sz val="11"/>
        <color theme="1"/>
        <rFont val="ＭＳ Ｐゴシック"/>
        <family val="3"/>
        <charset val="128"/>
        <scheme val="minor"/>
      </rPr>
      <t>佳</t>
    </r>
  </si>
  <si>
    <t>朱梅娣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</si>
  <si>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葡萄酒; 白酒; 开胃酒; 茴香酒（利口酒）; 米酒; 青稞酒; 果酒（含酒精）</t>
    </r>
  </si>
  <si>
    <r>
      <t>庆</t>
    </r>
    <r>
      <rPr>
        <sz val="11"/>
        <color theme="1"/>
        <rFont val="ＭＳ Ｐゴシック"/>
        <family val="3"/>
        <charset val="128"/>
        <scheme val="minor"/>
      </rPr>
      <t>都三</t>
    </r>
    <r>
      <rPr>
        <sz val="11"/>
        <color theme="1"/>
        <rFont val="ＭＳ Ｐゴシック"/>
        <family val="3"/>
        <charset val="134"/>
        <scheme val="minor"/>
      </rPr>
      <t>贤</t>
    </r>
    <r>
      <rPr>
        <sz val="11"/>
        <color theme="1"/>
        <rFont val="ＭＳ Ｐゴシック"/>
        <family val="3"/>
        <charset val="128"/>
        <scheme val="minor"/>
      </rPr>
      <t>醉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</si>
  <si>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汽酒; 甜酒;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食用酒精; 白酒;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</si>
  <si>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AISVINA</t>
  </si>
  <si>
    <t>禅橙科技(上海)有限公司</t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</si>
  <si>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起泡白葡萄酒; 利口酒; 清酒（日本米酒）; 威士忌; 蒸煮提取物（利口酒和烈酒）; 苦味酒; 起泡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</t>
    </r>
  </si>
  <si>
    <t>火韵</t>
  </si>
  <si>
    <r>
      <t>湖南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圣商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</si>
  <si>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食用酒精; 葡萄酒; 白酒; 蒸煮提取物（利口酒和烈酒）;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</si>
  <si>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天琛聚宝</t>
  </si>
  <si>
    <r>
      <t>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中健</t>
    </r>
    <r>
      <rPr>
        <sz val="11"/>
        <color theme="1"/>
        <rFont val="ＭＳ Ｐゴシック"/>
        <family val="3"/>
        <charset val="134"/>
        <scheme val="minor"/>
      </rPr>
      <t>长</t>
    </r>
    <r>
      <rPr>
        <sz val="11"/>
        <color theme="1"/>
        <rFont val="ＭＳ Ｐゴシック"/>
        <family val="3"/>
        <charset val="128"/>
        <scheme val="minor"/>
      </rPr>
      <t>生露生物科技有限公司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</si>
  <si>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清酒（日本米酒）; 米酒;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葡萄酒;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黄酒</t>
    </r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</si>
  <si>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米酒; 清酒（日本米酒）; 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葡萄酒;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</si>
  <si>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雨露有</t>
    </r>
    <r>
      <rPr>
        <sz val="11"/>
        <color theme="1"/>
        <rFont val="ＭＳ Ｐゴシック"/>
        <family val="3"/>
        <charset val="134"/>
        <scheme val="minor"/>
      </rPr>
      <t>约</t>
    </r>
  </si>
  <si>
    <r>
      <t>阜阳玖鑫商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</si>
  <si>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果酒（含酒精）;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开胃酒;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露酒; 白酒</t>
    </r>
  </si>
  <si>
    <t>箭叶</t>
  </si>
  <si>
    <r>
      <t>绵</t>
    </r>
    <r>
      <rPr>
        <sz val="11"/>
        <color theme="1"/>
        <rFont val="ＭＳ Ｐゴシック"/>
        <family val="3"/>
        <charset val="128"/>
        <scheme val="minor"/>
      </rPr>
      <t>阳百</t>
    </r>
    <r>
      <rPr>
        <sz val="11"/>
        <color theme="1"/>
        <rFont val="ＭＳ Ｐゴシック"/>
        <family val="3"/>
        <charset val="134"/>
        <scheme val="minor"/>
      </rPr>
      <t>艺</t>
    </r>
    <r>
      <rPr>
        <sz val="11"/>
        <color theme="1"/>
        <rFont val="ＭＳ Ｐゴシック"/>
        <family val="3"/>
        <charset val="128"/>
        <scheme val="minor"/>
      </rPr>
      <t>美</t>
    </r>
    <r>
      <rPr>
        <sz val="11"/>
        <color theme="1"/>
        <rFont val="ＭＳ Ｐゴシック"/>
        <family val="3"/>
        <charset val="129"/>
        <scheme val="minor"/>
      </rPr>
      <t>优</t>
    </r>
    <r>
      <rPr>
        <sz val="11"/>
        <color theme="1"/>
        <rFont val="ＭＳ Ｐゴシック"/>
        <family val="3"/>
        <charset val="134"/>
        <scheme val="minor"/>
      </rPr>
      <t>电</t>
    </r>
    <r>
      <rPr>
        <sz val="11"/>
        <color theme="1"/>
        <rFont val="ＭＳ Ｐゴシック"/>
        <family val="3"/>
        <charset val="128"/>
        <scheme val="minor"/>
      </rPr>
      <t>子商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</si>
  <si>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露酒;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蒸煮提取物（利口酒和烈酒）;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</si>
  <si>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t>崇江台</t>
  </si>
  <si>
    <r>
      <t>周</t>
    </r>
    <r>
      <rPr>
        <sz val="11"/>
        <color theme="1"/>
        <rFont val="ＭＳ Ｐゴシック"/>
        <family val="3"/>
        <charset val="134"/>
        <scheme val="minor"/>
      </rPr>
      <t>丽琼</t>
    </r>
  </si>
  <si>
    <r>
      <t xml:space="preserve">白酒; 开胃酒; 烈酒; 葡萄酒;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清酒（日本米酒）</t>
    </r>
  </si>
  <si>
    <t>FORJA</t>
  </si>
  <si>
    <r>
      <t>寰球卓</t>
    </r>
    <r>
      <rPr>
        <sz val="11"/>
        <color theme="1"/>
        <rFont val="ＭＳ Ｐゴシック"/>
        <family val="3"/>
        <charset val="134"/>
        <scheme val="minor"/>
      </rPr>
      <t>选电</t>
    </r>
    <r>
      <rPr>
        <sz val="11"/>
        <color theme="1"/>
        <rFont val="ＭＳ Ｐゴシック"/>
        <family val="3"/>
        <charset val="128"/>
        <scheme val="minor"/>
      </rPr>
      <t>子商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（天</t>
    </r>
    <r>
      <rPr>
        <sz val="11"/>
        <color theme="1"/>
        <rFont val="ＭＳ Ｐゴシック"/>
        <family val="3"/>
        <charset val="134"/>
        <scheme val="minor"/>
      </rPr>
      <t>长</t>
    </r>
    <r>
      <rPr>
        <sz val="11"/>
        <color theme="1"/>
        <rFont val="ＭＳ Ｐゴシック"/>
        <family val="3"/>
        <charset val="128"/>
        <scheme val="minor"/>
      </rPr>
      <t>）有限公司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</si>
  <si>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食用酒精;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果酒（含酒精）;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</si>
  <si>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来伊份 LYFEN GO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</si>
  <si>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黄酒; 威士忌; 葡萄酒; 米酒; 利口酒;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</t>
    </r>
  </si>
  <si>
    <t>来伊份 LYFEN LAB MINI</t>
  </si>
  <si>
    <r>
      <t>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白酒;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威士忌; 利口酒</t>
    </r>
  </si>
  <si>
    <r>
      <t>启昱</t>
    </r>
    <r>
      <rPr>
        <sz val="11"/>
        <color theme="1"/>
        <rFont val="ＭＳ Ｐゴシック"/>
        <family val="3"/>
        <charset val="134"/>
        <scheme val="minor"/>
      </rPr>
      <t>华风</t>
    </r>
  </si>
  <si>
    <r>
      <t>襄阳市启昱</t>
    </r>
    <r>
      <rPr>
        <sz val="11"/>
        <color theme="1"/>
        <rFont val="ＭＳ Ｐゴシック"/>
        <family val="3"/>
        <charset val="134"/>
        <scheme val="minor"/>
      </rPr>
      <t>华风农业</t>
    </r>
    <r>
      <rPr>
        <sz val="11"/>
        <color theme="1"/>
        <rFont val="ＭＳ Ｐゴシック"/>
        <family val="3"/>
        <charset val="128"/>
        <scheme val="minor"/>
      </rPr>
      <t>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</si>
  <si>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清酒（日本米酒）; 烈酒;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开胃酒; 果酒（含酒精）; 白酒; 葡萄酒; 威士忌</t>
    </r>
  </si>
  <si>
    <r>
      <t>平粮思</t>
    </r>
    <r>
      <rPr>
        <sz val="11"/>
        <color theme="1"/>
        <rFont val="ＭＳ Ｐゴシック"/>
        <family val="3"/>
        <charset val="134"/>
        <scheme val="minor"/>
      </rPr>
      <t>树</t>
    </r>
  </si>
  <si>
    <r>
      <t>平阳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昆阳</t>
    </r>
    <r>
      <rPr>
        <sz val="11"/>
        <color theme="1"/>
        <rFont val="ＭＳ Ｐゴシック"/>
        <family val="3"/>
        <charset val="134"/>
        <scheme val="minor"/>
      </rPr>
      <t>镇</t>
    </r>
    <r>
      <rPr>
        <sz val="11"/>
        <color theme="1"/>
        <rFont val="ＭＳ Ｐゴシック"/>
        <family val="3"/>
        <charset val="128"/>
        <scheme val="minor"/>
      </rPr>
      <t>新科家庭</t>
    </r>
    <r>
      <rPr>
        <sz val="11"/>
        <color theme="1"/>
        <rFont val="ＭＳ Ｐゴシック"/>
        <family val="3"/>
        <charset val="134"/>
        <scheme val="minor"/>
      </rPr>
      <t>农场</t>
    </r>
  </si>
  <si>
    <r>
      <t xml:space="preserve">蜂蜜酒;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 xml:space="preserve">梅酒; 米酒; 黄酒; 白酒;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甜酒; 高粱酒</t>
    </r>
  </si>
  <si>
    <r>
      <t>金日金</t>
    </r>
    <r>
      <rPr>
        <sz val="11"/>
        <color theme="1"/>
        <rFont val="ＭＳ Ｐゴシック"/>
        <family val="3"/>
        <charset val="134"/>
        <scheme val="minor"/>
      </rPr>
      <t>时</t>
    </r>
  </si>
  <si>
    <r>
      <t>黄酒; 葡萄酒; 食用酒精;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</t>
    </r>
  </si>
  <si>
    <r>
      <t>里嘉</t>
    </r>
    <r>
      <rPr>
        <sz val="11"/>
        <color theme="1"/>
        <rFont val="ＭＳ Ｐゴシック"/>
        <family val="3"/>
        <charset val="134"/>
        <scheme val="minor"/>
      </rPr>
      <t>图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</si>
  <si>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不起泡葡萄酒; 桃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食用酒精;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黄酒</t>
    </r>
  </si>
  <si>
    <r>
      <t>协</t>
    </r>
    <r>
      <rPr>
        <sz val="11"/>
        <color theme="1"/>
        <rFont val="ＭＳ Ｐゴシック"/>
        <family val="3"/>
        <charset val="128"/>
        <scheme val="minor"/>
      </rPr>
      <t>源公</t>
    </r>
  </si>
  <si>
    <r>
      <t>蒙</t>
    </r>
    <r>
      <rPr>
        <sz val="11"/>
        <color theme="1"/>
        <rFont val="ＭＳ Ｐゴシック"/>
        <family val="3"/>
        <charset val="134"/>
        <scheme val="minor"/>
      </rPr>
      <t>坚</t>
    </r>
  </si>
  <si>
    <r>
      <t xml:space="preserve">威士忌; 青稞酒;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果酒（含酒精）; 米酒; 黄酒</t>
    </r>
  </si>
  <si>
    <t>芦湾雪</t>
  </si>
  <si>
    <r>
      <t>张</t>
    </r>
    <r>
      <rPr>
        <sz val="11"/>
        <color theme="1"/>
        <rFont val="ＭＳ Ｐゴシック"/>
        <family val="3"/>
        <charset val="128"/>
        <scheme val="minor"/>
      </rPr>
      <t>掖全粮酒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</si>
  <si>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白酒; 开胃酒;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利口酒; 青稞酒; 黄酒; 米酒</t>
    </r>
  </si>
  <si>
    <t>屹将</t>
  </si>
  <si>
    <r>
      <t>郑</t>
    </r>
    <r>
      <rPr>
        <sz val="11"/>
        <color theme="1"/>
        <rFont val="ＭＳ Ｐゴシック"/>
        <family val="3"/>
        <charset val="128"/>
        <scheme val="minor"/>
      </rPr>
      <t>州网</t>
    </r>
    <r>
      <rPr>
        <sz val="11"/>
        <color theme="1"/>
        <rFont val="ＭＳ Ｐゴシック"/>
        <family val="3"/>
        <charset val="129"/>
        <scheme val="minor"/>
      </rPr>
      <t>优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网</t>
    </r>
    <r>
      <rPr>
        <sz val="11"/>
        <color theme="1"/>
        <rFont val="ＭＳ Ｐゴシック"/>
        <family val="3"/>
        <charset val="134"/>
        <scheme val="minor"/>
      </rPr>
      <t>络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</si>
  <si>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烈酒; 米酒;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葡萄酒; 白酒; 黄酒; 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</si>
  <si>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醉宴城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</si>
  <si>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市致玖酒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</si>
  <si>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汽酒; 白酒;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</si>
  <si>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鸿</t>
    </r>
    <r>
      <rPr>
        <sz val="11"/>
        <color theme="1"/>
        <rFont val="ＭＳ Ｐゴシック"/>
        <family val="3"/>
        <charset val="128"/>
        <scheme val="minor"/>
      </rPr>
      <t>叔</t>
    </r>
    <r>
      <rPr>
        <sz val="11"/>
        <color theme="1"/>
        <rFont val="ＭＳ Ｐゴシック"/>
        <family val="3"/>
        <charset val="134"/>
        <scheme val="minor"/>
      </rPr>
      <t>纪</t>
    </r>
  </si>
  <si>
    <r>
      <t>东</t>
    </r>
    <r>
      <rPr>
        <sz val="11"/>
        <color theme="1"/>
        <rFont val="ＭＳ Ｐゴシック"/>
        <family val="3"/>
        <charset val="128"/>
        <scheme val="minor"/>
      </rPr>
      <t>阳市</t>
    </r>
    <r>
      <rPr>
        <sz val="11"/>
        <color theme="1"/>
        <rFont val="ＭＳ Ｐゴシック"/>
        <family val="3"/>
        <charset val="134"/>
        <scheme val="minor"/>
      </rPr>
      <t>鸿</t>
    </r>
    <r>
      <rPr>
        <sz val="11"/>
        <color theme="1"/>
        <rFont val="ＭＳ Ｐゴシック"/>
        <family val="3"/>
        <charset val="128"/>
        <scheme val="minor"/>
      </rPr>
      <t>叔</t>
    </r>
    <r>
      <rPr>
        <sz val="11"/>
        <color theme="1"/>
        <rFont val="ＭＳ Ｐゴシック"/>
        <family val="3"/>
        <charset val="134"/>
        <scheme val="minor"/>
      </rPr>
      <t>记电</t>
    </r>
    <r>
      <rPr>
        <sz val="11"/>
        <color theme="1"/>
        <rFont val="ＭＳ Ｐゴシック"/>
        <family val="3"/>
        <charset val="128"/>
        <scheme val="minor"/>
      </rPr>
      <t>子商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商行（个体工商</t>
    </r>
    <r>
      <rPr>
        <sz val="11"/>
        <color theme="1"/>
        <rFont val="ＭＳ Ｐゴシック"/>
        <family val="3"/>
        <charset val="134"/>
        <scheme val="minor"/>
      </rPr>
      <t>户</t>
    </r>
    <r>
      <rPr>
        <sz val="11"/>
        <color theme="1"/>
        <rFont val="ＭＳ Ｐゴシック"/>
        <family val="3"/>
        <charset val="128"/>
        <scheme val="minor"/>
      </rPr>
      <t>）</t>
    </r>
  </si>
  <si>
    <r>
      <t>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青稞酒; 白酒; 蜂蜜酒; 清酒;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</t>
    </r>
  </si>
  <si>
    <t>家香明珠</t>
  </si>
  <si>
    <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清酒（日本米酒）; 白干酒（中国白酒）;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高粱酒; 烈酒; 米酒</t>
    </r>
  </si>
  <si>
    <r>
      <t>航</t>
    </r>
    <r>
      <rPr>
        <sz val="11"/>
        <color theme="1"/>
        <rFont val="ＭＳ Ｐゴシック"/>
        <family val="3"/>
        <charset val="134"/>
        <scheme val="minor"/>
      </rPr>
      <t>泽</t>
    </r>
    <r>
      <rPr>
        <sz val="11"/>
        <color theme="1"/>
        <rFont val="ＭＳ Ｐゴシック"/>
        <family val="3"/>
        <charset val="128"/>
        <scheme val="minor"/>
      </rPr>
      <t>爸爸</t>
    </r>
  </si>
  <si>
    <t>范雪征</t>
  </si>
  <si>
    <r>
      <t xml:space="preserve">青稞酒; 白酒;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苹果酒;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</si>
  <si>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t>杏善坊</t>
  </si>
  <si>
    <r>
      <t>赵</t>
    </r>
    <r>
      <rPr>
        <sz val="11"/>
        <color theme="1"/>
        <rFont val="ＭＳ Ｐゴシック"/>
        <family val="3"/>
        <charset val="128"/>
        <scheme val="minor"/>
      </rPr>
      <t>文清</t>
    </r>
  </si>
  <si>
    <r>
      <t>食用酒精;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开胃酒; 米酒;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</si>
  <si>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龙</t>
    </r>
    <r>
      <rPr>
        <sz val="11"/>
        <color theme="1"/>
        <rFont val="ＭＳ Ｐゴシック"/>
        <family val="3"/>
        <charset val="128"/>
        <scheme val="minor"/>
      </rPr>
      <t>坦</t>
    </r>
  </si>
  <si>
    <r>
      <t>张宪</t>
    </r>
    <r>
      <rPr>
        <sz val="11"/>
        <color theme="1"/>
        <rFont val="ＭＳ Ｐゴシック"/>
        <family val="3"/>
        <charset val="128"/>
        <scheme val="minor"/>
      </rPr>
      <t>全</t>
    </r>
  </si>
  <si>
    <r>
      <t xml:space="preserve">食用酒精; 白干酒（中国白酒）;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开胃酒;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蜂蜜酒; 高粱酒; 苹果酒</t>
    </r>
  </si>
  <si>
    <t>徐谷楠</t>
  </si>
  <si>
    <r>
      <t>南京君曲大院酒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</si>
  <si>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黄酒; 白酒; 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白干酒（中国白酒）;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</si>
  <si>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流金玉</t>
  </si>
  <si>
    <t>朱海波</t>
  </si>
  <si>
    <r>
      <t xml:space="preserve">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米酒; 黄酒</t>
    </r>
  </si>
  <si>
    <t>花章</t>
  </si>
  <si>
    <r>
      <t>王运</t>
    </r>
    <r>
      <rPr>
        <sz val="11"/>
        <color theme="1"/>
        <rFont val="ＭＳ Ｐゴシック"/>
        <family val="3"/>
        <charset val="134"/>
        <scheme val="minor"/>
      </rPr>
      <t>刚</t>
    </r>
  </si>
  <si>
    <r>
      <t xml:space="preserve">青稞酒;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汽酒; 苦味酒;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>酒; 白酒; 果酒（含酒精）;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黄酒</t>
    </r>
  </si>
  <si>
    <t>唐道易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</si>
  <si>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34"/>
        <scheme val="minor"/>
      </rPr>
      <t>汉贡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</si>
  <si>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黄酒; 果酒（含酒精）; 开胃酒; 葡萄酒; 梨酒; 蒸煮提取物（利口酒和烈酒）;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杜松子酒; 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</si>
  <si>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果小派</t>
  </si>
  <si>
    <r>
      <t>北京</t>
    </r>
    <r>
      <rPr>
        <sz val="11"/>
        <color theme="1"/>
        <rFont val="ＭＳ Ｐゴシック"/>
        <family val="3"/>
        <charset val="134"/>
        <scheme val="minor"/>
      </rPr>
      <t>锐</t>
    </r>
    <r>
      <rPr>
        <sz val="11"/>
        <color theme="1"/>
        <rFont val="ＭＳ Ｐゴシック"/>
        <family val="3"/>
        <charset val="128"/>
        <scheme val="minor"/>
      </rPr>
      <t>彬商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</si>
  <si>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梨酒;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含酒精的气泡水; 苹果酒;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蜂蜜酒; 甘蔗制酒精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</t>
    </r>
  </si>
  <si>
    <r>
      <t>愿</t>
    </r>
    <r>
      <rPr>
        <sz val="11"/>
        <color theme="1"/>
        <rFont val="ＭＳ Ｐゴシック"/>
        <family val="3"/>
        <charset val="134"/>
        <scheme val="minor"/>
      </rPr>
      <t>择</t>
    </r>
    <r>
      <rPr>
        <sz val="11"/>
        <color theme="1"/>
        <rFont val="ＭＳ Ｐゴシック"/>
        <family val="3"/>
        <charset val="128"/>
        <scheme val="minor"/>
      </rPr>
      <t>酩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</si>
  <si>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州会凌商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</si>
  <si>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米酒; 葡萄酒; 餐后酒（利口酒和烈酒）; 白酒; 苹果酒; 露酒;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</si>
  <si>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康养年</t>
  </si>
  <si>
    <r>
      <t>张</t>
    </r>
    <r>
      <rPr>
        <sz val="11"/>
        <color theme="1"/>
        <rFont val="ＭＳ Ｐゴシック"/>
        <family val="3"/>
        <charset val="128"/>
        <scheme val="minor"/>
      </rPr>
      <t>国超</t>
    </r>
  </si>
  <si>
    <t>果酒; 汽酒; 清酒; 白酒; 食用酒精; 黄酒; 开胃酒; 甜酒; 葡萄酒; 米酒</t>
  </si>
  <si>
    <t>沐楠真元</t>
  </si>
  <si>
    <r>
      <t>孙</t>
    </r>
    <r>
      <rPr>
        <sz val="11"/>
        <color theme="1"/>
        <rFont val="ＭＳ Ｐゴシック"/>
        <family val="3"/>
        <charset val="128"/>
        <scheme val="minor"/>
      </rPr>
      <t>富</t>
    </r>
    <r>
      <rPr>
        <sz val="11"/>
        <color theme="1"/>
        <rFont val="ＭＳ Ｐゴシック"/>
        <family val="3"/>
        <charset val="129"/>
        <scheme val="minor"/>
      </rPr>
      <t>强</t>
    </r>
  </si>
  <si>
    <r>
      <t>白酒; 高粱酒; 果酒（含酒精）; 食用酒精; 青稞酒;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</t>
    </r>
  </si>
  <si>
    <t>川夏情</t>
  </si>
  <si>
    <r>
      <t>宁夏金</t>
    </r>
    <r>
      <rPr>
        <sz val="11"/>
        <color theme="1"/>
        <rFont val="ＭＳ Ｐゴシック"/>
        <family val="3"/>
        <charset val="134"/>
        <scheme val="minor"/>
      </rPr>
      <t>铭</t>
    </r>
    <r>
      <rPr>
        <sz val="11"/>
        <color theme="1"/>
        <rFont val="ＭＳ Ｐゴシック"/>
        <family val="3"/>
        <charset val="128"/>
        <scheme val="minor"/>
      </rPr>
      <t>食品有限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</si>
  <si>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 xml:space="preserve">葡萄酒; 含酒精的气泡水;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汽酒; 果酒（含酒精）; 白酒</t>
    </r>
  </si>
  <si>
    <r>
      <t>木林森</t>
    </r>
    <r>
      <rPr>
        <sz val="11"/>
        <color theme="1"/>
        <rFont val="ＭＳ Ｐゴシック"/>
        <family val="3"/>
        <charset val="134"/>
        <scheme val="minor"/>
      </rPr>
      <t>连</t>
    </r>
    <r>
      <rPr>
        <sz val="11"/>
        <color theme="1"/>
        <rFont val="ＭＳ Ｐゴシック"/>
        <family val="3"/>
        <charset val="128"/>
        <scheme val="minor"/>
      </rPr>
      <t>理枝</t>
    </r>
  </si>
  <si>
    <r>
      <t>沈阳</t>
    </r>
    <r>
      <rPr>
        <sz val="11"/>
        <color theme="1"/>
        <rFont val="ＭＳ Ｐゴシック"/>
        <family val="3"/>
        <charset val="134"/>
        <scheme val="minor"/>
      </rPr>
      <t>东凯</t>
    </r>
    <r>
      <rPr>
        <sz val="11"/>
        <color theme="1"/>
        <rFont val="ＭＳ Ｐゴシック"/>
        <family val="3"/>
        <charset val="128"/>
        <scheme val="minor"/>
      </rPr>
      <t>隆升商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</si>
  <si>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开胃酒; 清酒;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高粱酒; 米酒;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果酒（含酒精）</t>
    </r>
  </si>
  <si>
    <t>来伊份 LYFEN MALL</t>
  </si>
  <si>
    <r>
      <t>利口酒;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威士忌; 米酒; 白酒; 黄酒;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</si>
  <si>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浙</t>
    </r>
    <r>
      <rPr>
        <sz val="11"/>
        <color theme="1"/>
        <rFont val="ＭＳ Ｐゴシック"/>
        <family val="3"/>
        <charset val="134"/>
        <scheme val="minor"/>
      </rPr>
      <t>农</t>
    </r>
    <r>
      <rPr>
        <sz val="11"/>
        <color theme="1"/>
        <rFont val="ＭＳ Ｐゴシック"/>
        <family val="3"/>
        <charset val="128"/>
        <scheme val="minor"/>
      </rPr>
      <t>耕达</t>
    </r>
  </si>
  <si>
    <r>
      <t>杭州秋</t>
    </r>
    <r>
      <rPr>
        <sz val="11"/>
        <color theme="1"/>
        <rFont val="ＭＳ Ｐゴシック"/>
        <family val="3"/>
        <charset val="134"/>
        <scheme val="minor"/>
      </rPr>
      <t>实农产</t>
    </r>
    <r>
      <rPr>
        <sz val="11"/>
        <color theme="1"/>
        <rFont val="ＭＳ Ｐゴシック"/>
        <family val="3"/>
        <charset val="128"/>
        <scheme val="minor"/>
      </rPr>
      <t>品有限公司</t>
    </r>
  </si>
  <si>
    <r>
      <t xml:space="preserve">白酒; 葡萄酒; 黄酒; 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开胃酒; 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</si>
  <si>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迎春天</t>
  </si>
  <si>
    <r>
      <t>海南兟</t>
    </r>
    <r>
      <rPr>
        <sz val="11"/>
        <color theme="1"/>
        <rFont val="ＭＳ Ｐゴシック"/>
        <family val="3"/>
        <charset val="134"/>
        <scheme val="minor"/>
      </rPr>
      <t>飞</t>
    </r>
    <r>
      <rPr>
        <sz val="11"/>
        <color theme="1"/>
        <rFont val="ＭＳ Ｐゴシック"/>
        <family val="3"/>
        <charset val="128"/>
        <scheme val="minor"/>
      </rPr>
      <t>网</t>
    </r>
    <r>
      <rPr>
        <sz val="11"/>
        <color theme="1"/>
        <rFont val="ＭＳ Ｐゴシック"/>
        <family val="3"/>
        <charset val="134"/>
        <scheme val="minor"/>
      </rPr>
      <t>络发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</si>
  <si>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果酒（含酒精）; 露酒; 青稞酒;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朗姆酒; 葡萄酒; 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米酒; 白酒</t>
    </r>
  </si>
  <si>
    <r>
      <t>小帆船</t>
    </r>
    <r>
      <rPr>
        <sz val="11"/>
        <color theme="1"/>
        <rFont val="ＭＳ Ｐゴシック"/>
        <family val="3"/>
        <charset val="134"/>
        <scheme val="minor"/>
      </rPr>
      <t>贡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</si>
  <si>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安徽小帆船酒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</si>
  <si>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利口酒; 米酒; 汽酒; 含酒精的气泡水; 果酒; 含酒精的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尾酒混合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品;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烈酒; 白酒</t>
    </r>
  </si>
  <si>
    <t>霍知</t>
  </si>
  <si>
    <r>
      <t>安徽霍知酒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</si>
  <si>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 xml:space="preserve">黄酒;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烈酒;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伏特加酒;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白酒; 白干酒（中国白酒）</t>
    </r>
  </si>
  <si>
    <r>
      <t>爱乐</t>
    </r>
    <r>
      <rPr>
        <sz val="11"/>
        <color theme="1"/>
        <rFont val="ＭＳ Ｐゴシック"/>
        <family val="3"/>
        <charset val="128"/>
        <scheme val="minor"/>
      </rPr>
      <t>政</t>
    </r>
  </si>
  <si>
    <t>李蒙</t>
  </si>
  <si>
    <r>
      <t>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青稞酒; 利口酒; 葡萄酒;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</si>
  <si>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龙娲</t>
    </r>
    <r>
      <rPr>
        <sz val="11"/>
        <color theme="1"/>
        <rFont val="ＭＳ Ｐゴシック"/>
        <family val="3"/>
        <charset val="128"/>
        <scheme val="minor"/>
      </rPr>
      <t>宴</t>
    </r>
  </si>
  <si>
    <r>
      <t>耿延</t>
    </r>
    <r>
      <rPr>
        <sz val="11"/>
        <color theme="1"/>
        <rFont val="ＭＳ Ｐゴシック"/>
        <family val="3"/>
        <charset val="134"/>
        <scheme val="minor"/>
      </rPr>
      <t>军</t>
    </r>
  </si>
  <si>
    <r>
      <t xml:space="preserve">白酒; 葡萄酒; 甘蔗制烈酒;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果酒（含酒精）</t>
    </r>
  </si>
  <si>
    <t>娜丹家</t>
  </si>
  <si>
    <r>
      <t>马</t>
    </r>
    <r>
      <rPr>
        <sz val="11"/>
        <color theme="1"/>
        <rFont val="ＭＳ Ｐゴシック"/>
        <family val="3"/>
        <charset val="128"/>
        <scheme val="minor"/>
      </rPr>
      <t>春程</t>
    </r>
  </si>
  <si>
    <r>
      <t xml:space="preserve">利口酒;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米酒; 白酒; 苹果酒</t>
    </r>
  </si>
  <si>
    <r>
      <t>东</t>
    </r>
    <r>
      <rPr>
        <sz val="11"/>
        <color theme="1"/>
        <rFont val="ＭＳ Ｐゴシック"/>
        <family val="3"/>
        <charset val="128"/>
        <scheme val="minor"/>
      </rPr>
      <t>方沸沸</t>
    </r>
    <r>
      <rPr>
        <sz val="11"/>
        <color theme="1"/>
        <rFont val="ＭＳ Ｐゴシック"/>
        <family val="3"/>
        <charset val="134"/>
        <scheme val="minor"/>
      </rPr>
      <t>龙</t>
    </r>
  </si>
  <si>
    <r>
      <t>湖南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智食品科技有限公司</t>
    </r>
  </si>
  <si>
    <r>
      <t>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果酒（含酒精）;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蒸煮提取物（利口酒和烈酒）;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威士忌</t>
    </r>
  </si>
  <si>
    <t>梅斯卡蒂</t>
  </si>
  <si>
    <r>
      <t>万</t>
    </r>
    <r>
      <rPr>
        <sz val="11"/>
        <color theme="1"/>
        <rFont val="ＭＳ Ｐゴシック"/>
        <family val="3"/>
        <charset val="134"/>
        <scheme val="minor"/>
      </rPr>
      <t>晓</t>
    </r>
    <r>
      <rPr>
        <sz val="11"/>
        <color theme="1"/>
        <rFont val="ＭＳ Ｐゴシック"/>
        <family val="3"/>
        <charset val="128"/>
        <scheme val="minor"/>
      </rPr>
      <t>静</t>
    </r>
  </si>
  <si>
    <r>
      <t>白酒;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朗姆酒; 伏特加酒; 含酒精的气泡水; 利口酒;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</t>
    </r>
  </si>
  <si>
    <t>滔皇</t>
  </si>
  <si>
    <r>
      <t>谭伟</t>
    </r>
    <r>
      <rPr>
        <sz val="11"/>
        <color theme="1"/>
        <rFont val="ＭＳ Ｐゴシック"/>
        <family val="3"/>
        <charset val="128"/>
        <scheme val="minor"/>
      </rPr>
      <t>方</t>
    </r>
  </si>
  <si>
    <r>
      <t xml:space="preserve">清酒（日本米酒）;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烈酒; 白酒;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果酒（含酒精）; 开胃酒</t>
    </r>
  </si>
  <si>
    <t>大酩君</t>
  </si>
  <si>
    <r>
      <t>饶泽</t>
    </r>
    <r>
      <rPr>
        <sz val="11"/>
        <color theme="1"/>
        <rFont val="ＭＳ Ｐゴシック"/>
        <family val="3"/>
        <charset val="128"/>
        <scheme val="minor"/>
      </rPr>
      <t>智</t>
    </r>
  </si>
  <si>
    <r>
      <t>葡萄酒; 黄酒; 白酒; 蒸煮提取物（利口酒和烈酒）;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</si>
  <si>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CRUBF</t>
  </si>
  <si>
    <r>
      <t>槟</t>
    </r>
    <r>
      <rPr>
        <sz val="11"/>
        <color theme="1"/>
        <rFont val="ＭＳ Ｐゴシック"/>
        <family val="3"/>
        <charset val="128"/>
        <scheme val="minor"/>
      </rPr>
      <t>丰（深圳）酒</t>
    </r>
    <r>
      <rPr>
        <sz val="11"/>
        <color theme="1"/>
        <rFont val="ＭＳ Ｐゴシック"/>
        <family val="3"/>
        <charset val="134"/>
        <scheme val="minor"/>
      </rPr>
      <t>业发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</si>
  <si>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白酒;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果酒（含酒精）; 米酒</t>
    </r>
  </si>
  <si>
    <t>礼小福</t>
  </si>
  <si>
    <t>徐阳海</t>
  </si>
  <si>
    <r>
      <t xml:space="preserve">白酒; 食用酒精; 青稞酒; 清酒（日本米酒）; 葡萄酒;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果酒（含酒精）</t>
    </r>
  </si>
  <si>
    <r>
      <t>来伊份 LYFEN SELECTION·精</t>
    </r>
    <r>
      <rPr>
        <sz val="11"/>
        <color theme="1"/>
        <rFont val="ＭＳ Ｐゴシック"/>
        <family val="3"/>
        <charset val="134"/>
        <scheme val="minor"/>
      </rPr>
      <t>选</t>
    </r>
    <r>
      <rPr>
        <sz val="11"/>
        <color theme="1"/>
        <rFont val="ＭＳ Ｐゴシック"/>
        <family val="3"/>
        <charset val="128"/>
        <scheme val="minor"/>
      </rPr>
      <t>店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</si>
  <si>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白酒; 利口酒; 威士忌; 葡萄酒</t>
    </r>
  </si>
  <si>
    <r>
      <t>元礼</t>
    </r>
    <r>
      <rPr>
        <sz val="11"/>
        <color theme="1"/>
        <rFont val="ＭＳ Ｐゴシック"/>
        <family val="3"/>
        <charset val="134"/>
        <scheme val="minor"/>
      </rPr>
      <t>乡</t>
    </r>
  </si>
  <si>
    <t>高成******************</t>
  </si>
  <si>
    <r>
      <t>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食用酒精;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果酒（含酒精）;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</si>
  <si>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宜</t>
    </r>
    <r>
      <rPr>
        <sz val="11"/>
        <color theme="1"/>
        <rFont val="ＭＳ Ｐゴシック"/>
        <family val="3"/>
        <charset val="134"/>
        <scheme val="minor"/>
      </rPr>
      <t>宾</t>
    </r>
    <r>
      <rPr>
        <sz val="11"/>
        <color theme="1"/>
        <rFont val="ＭＳ Ｐゴシック"/>
        <family val="3"/>
        <charset val="128"/>
        <scheme val="minor"/>
      </rPr>
      <t>五粮液仙林生</t>
    </r>
    <r>
      <rPr>
        <sz val="11"/>
        <color theme="1"/>
        <rFont val="ＭＳ Ｐゴシック"/>
        <family val="3"/>
        <charset val="134"/>
        <scheme val="minor"/>
      </rPr>
      <t>态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</si>
  <si>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威士忌; 葡萄酒;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汽酒; 果酒（含酒精）; 露酒</t>
    </r>
  </si>
  <si>
    <r>
      <t>乌长</t>
    </r>
    <r>
      <rPr>
        <sz val="11"/>
        <color theme="1"/>
        <rFont val="ＭＳ Ｐゴシック"/>
        <family val="3"/>
        <charset val="128"/>
        <scheme val="minor"/>
      </rPr>
      <t>合</t>
    </r>
  </si>
  <si>
    <r>
      <t>重</t>
    </r>
    <r>
      <rPr>
        <sz val="11"/>
        <color theme="1"/>
        <rFont val="ＭＳ Ｐゴシック"/>
        <family val="3"/>
        <charset val="134"/>
        <scheme val="minor"/>
      </rPr>
      <t>庆</t>
    </r>
    <r>
      <rPr>
        <sz val="11"/>
        <color theme="1"/>
        <rFont val="ＭＳ Ｐゴシック"/>
        <family val="3"/>
        <charset val="128"/>
        <scheme val="minor"/>
      </rPr>
      <t>熊四商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</si>
  <si>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白酒; 葡萄酒; 开胃酒; 米酒</t>
    </r>
  </si>
  <si>
    <t>桦鸿</t>
  </si>
  <si>
    <r>
      <t>桦鸿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（山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）有限公司</t>
    </r>
  </si>
  <si>
    <r>
      <t>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食用酒精; 米酒;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白酒; 青稞酒; 开胃酒; 黄酒</t>
    </r>
  </si>
  <si>
    <r>
      <t>杰</t>
    </r>
    <r>
      <rPr>
        <sz val="11"/>
        <color theme="1"/>
        <rFont val="ＭＳ Ｐゴシック"/>
        <family val="3"/>
        <charset val="134"/>
        <scheme val="minor"/>
      </rPr>
      <t>骤</t>
    </r>
  </si>
  <si>
    <r>
      <t>上海</t>
    </r>
    <r>
      <rPr>
        <sz val="11"/>
        <color theme="1"/>
        <rFont val="ＭＳ Ｐゴシック"/>
        <family val="3"/>
        <charset val="134"/>
        <scheme val="minor"/>
      </rPr>
      <t>贤</t>
    </r>
    <r>
      <rPr>
        <sz val="11"/>
        <color theme="1"/>
        <rFont val="ＭＳ Ｐゴシック"/>
        <family val="3"/>
        <charset val="128"/>
        <scheme val="minor"/>
      </rPr>
      <t>法商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</si>
  <si>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蜂蜜酒; 威士忌; 米酒; 梅酒; 黄酒; 清酒（日本米酒）;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</si>
  <si>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t>LUBANTIAN</t>
  </si>
  <si>
    <r>
      <t>北京</t>
    </r>
    <r>
      <rPr>
        <sz val="11"/>
        <color theme="1"/>
        <rFont val="ＭＳ Ｐゴシック"/>
        <family val="3"/>
        <charset val="134"/>
        <scheme val="minor"/>
      </rPr>
      <t>凤</t>
    </r>
    <r>
      <rPr>
        <sz val="11"/>
        <color theme="1"/>
        <rFont val="ＭＳ Ｐゴシック"/>
        <family val="3"/>
        <charset val="128"/>
        <scheme val="minor"/>
      </rPr>
      <t>求凰供</t>
    </r>
    <r>
      <rPr>
        <sz val="11"/>
        <color theme="1"/>
        <rFont val="ＭＳ Ｐゴシック"/>
        <family val="3"/>
        <charset val="134"/>
        <scheme val="minor"/>
      </rPr>
      <t>应链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</si>
  <si>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 xml:space="preserve">利口酒; 高粱酒; 白葡萄酒;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露酒; 桃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白酒; 清酒; 果酒（含酒精）; 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果酒; 白干酒（中国白酒）; 葡萄酒; 米酒; 朝</t>
    </r>
    <r>
      <rPr>
        <sz val="11"/>
        <color theme="1"/>
        <rFont val="ＭＳ Ｐゴシック"/>
        <family val="3"/>
        <charset val="134"/>
        <scheme val="minor"/>
      </rPr>
      <t>鲜</t>
    </r>
    <r>
      <rPr>
        <sz val="11"/>
        <color theme="1"/>
        <rFont val="ＭＳ Ｐゴシック"/>
        <family val="3"/>
        <charset val="128"/>
        <scheme val="minor"/>
      </rPr>
      <t>族米酒; 黄酒; 青稞酒</t>
    </r>
  </si>
  <si>
    <t>佐佑德</t>
  </si>
  <si>
    <r>
      <t>祥</t>
    </r>
    <r>
      <rPr>
        <sz val="11"/>
        <color theme="1"/>
        <rFont val="ＭＳ Ｐゴシック"/>
        <family val="3"/>
        <charset val="134"/>
        <scheme val="minor"/>
      </rPr>
      <t>领</t>
    </r>
    <r>
      <rPr>
        <sz val="11"/>
        <color theme="1"/>
        <rFont val="ＭＳ Ｐゴシック"/>
        <family val="3"/>
        <charset val="128"/>
        <scheme val="minor"/>
      </rPr>
      <t>隆升（夏津）商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</si>
  <si>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高粱酒;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开胃酒; 梨酒; 米酒; 黄酒; 果酒（含酒精）</t>
    </r>
  </si>
  <si>
    <r>
      <t>布</t>
    </r>
    <r>
      <rPr>
        <sz val="11"/>
        <color theme="1"/>
        <rFont val="ＭＳ Ｐゴシック"/>
        <family val="3"/>
        <charset val="134"/>
        <scheme val="minor"/>
      </rPr>
      <t>鲁维</t>
    </r>
    <r>
      <rPr>
        <sz val="11"/>
        <color theme="1"/>
        <rFont val="ＭＳ Ｐゴシック"/>
        <family val="3"/>
        <charset val="128"/>
        <scheme val="minor"/>
      </rPr>
      <t>斯海湾</t>
    </r>
  </si>
  <si>
    <r>
      <t>威海敦禾旅游开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</si>
  <si>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果酒（含酒精）;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清酒; 食用酒精; 高粱酒; 佐餐酒;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米酒</t>
    </r>
  </si>
  <si>
    <t>安徽皖雪食品股份有限公司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</si>
  <si>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黄酒; 白酒; 清酒; 薄荷酒;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开胃酒; 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</t>
    </r>
  </si>
  <si>
    <t>禄中福</t>
  </si>
  <si>
    <r>
      <t xml:space="preserve">清酒（日本米酒）;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米酒; 白酒; 青稞酒; 食用酒精;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黄酒</t>
    </r>
  </si>
  <si>
    <r>
      <t>椰</t>
    </r>
    <r>
      <rPr>
        <sz val="11"/>
        <color theme="1"/>
        <rFont val="ＭＳ Ｐゴシック"/>
        <family val="3"/>
        <charset val="134"/>
        <scheme val="minor"/>
      </rPr>
      <t>诺</t>
    </r>
    <r>
      <rPr>
        <sz val="11"/>
        <color theme="1"/>
        <rFont val="ＭＳ Ｐゴシック"/>
        <family val="3"/>
        <charset val="128"/>
        <scheme val="minor"/>
      </rPr>
      <t>康</t>
    </r>
  </si>
  <si>
    <t>海南松吉云商科技有限公司</t>
  </si>
  <si>
    <r>
      <t>白酒; 伏特加酒; 黄酒;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 xml:space="preserve">汁; 食用酒精;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</t>
    </r>
  </si>
  <si>
    <r>
      <t>兰</t>
    </r>
    <r>
      <rPr>
        <sz val="11"/>
        <color theme="1"/>
        <rFont val="ＭＳ Ｐゴシック"/>
        <family val="3"/>
        <charset val="128"/>
        <scheme val="minor"/>
      </rPr>
      <t>亭宴集篇</t>
    </r>
  </si>
  <si>
    <r>
      <t xml:space="preserve">米酒; 葡萄酒; 清酒（日本米酒）;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</t>
    </r>
  </si>
  <si>
    <r>
      <t>兰</t>
    </r>
    <r>
      <rPr>
        <sz val="11"/>
        <color theme="1"/>
        <rFont val="ＭＳ Ｐゴシック"/>
        <family val="3"/>
        <charset val="128"/>
        <scheme val="minor"/>
      </rPr>
      <t>亭宴集雅</t>
    </r>
  </si>
  <si>
    <r>
      <t>果酒（含酒精）; 葡萄酒; 黄酒; 清酒（日本米酒）;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白酒</t>
    </r>
  </si>
  <si>
    <t>博悦名</t>
  </si>
  <si>
    <r>
      <t>罗</t>
    </r>
    <r>
      <rPr>
        <sz val="11"/>
        <color theme="1"/>
        <rFont val="ＭＳ Ｐゴシック"/>
        <family val="3"/>
        <charset val="128"/>
        <scheme val="minor"/>
      </rPr>
      <t>文才******************</t>
    </r>
  </si>
  <si>
    <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 xml:space="preserve">汁; 米酒; 食用酒精; 蒸煮提取物（利口酒和烈酒）;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</si>
  <si>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阿淖山</t>
  </si>
  <si>
    <r>
      <t>内蒙古</t>
    </r>
    <r>
      <rPr>
        <sz val="11"/>
        <color theme="1"/>
        <rFont val="ＭＳ Ｐゴシック"/>
        <family val="3"/>
        <charset val="134"/>
        <scheme val="minor"/>
      </rPr>
      <t>辉苏</t>
    </r>
    <r>
      <rPr>
        <sz val="11"/>
        <color theme="1"/>
        <rFont val="ＭＳ Ｐゴシック"/>
        <family val="3"/>
        <charset val="128"/>
        <scheme val="minor"/>
      </rPr>
      <t>木短尾羊养殖</t>
    </r>
    <r>
      <rPr>
        <sz val="11"/>
        <color theme="1"/>
        <rFont val="ＭＳ Ｐゴシック"/>
        <family val="3"/>
        <charset val="134"/>
        <scheme val="minor"/>
      </rPr>
      <t>实验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</si>
  <si>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烈酒;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果酒（含酒精）;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白干酒（中国白酒）; 高粱酒; 开胃酒</t>
    </r>
  </si>
  <si>
    <t>KING OF CLOWNS</t>
  </si>
  <si>
    <r>
      <t>烟台爵世酒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</si>
  <si>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酸酒（低等葡萄酒）;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清酒; 白酒; 葡萄酒</t>
    </r>
  </si>
  <si>
    <r>
      <t>择</t>
    </r>
    <r>
      <rPr>
        <sz val="11"/>
        <color theme="1"/>
        <rFont val="ＭＳ Ｐゴシック"/>
        <family val="3"/>
        <charset val="128"/>
        <scheme val="minor"/>
      </rPr>
      <t>酩客</t>
    </r>
  </si>
  <si>
    <r>
      <t>米酒;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苹果酒;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餐后酒（利口酒和烈酒）; 葡萄酒; 露酒; 果酒（含酒精）</t>
    </r>
  </si>
  <si>
    <t>建运和</t>
  </si>
  <si>
    <r>
      <t>海南建运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</si>
  <si>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开胃酒; 伏特加酒;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汽酒</t>
    </r>
  </si>
  <si>
    <r>
      <t>金清沙</t>
    </r>
    <r>
      <rPr>
        <sz val="11"/>
        <color theme="1"/>
        <rFont val="ＭＳ Ｐゴシック"/>
        <family val="3"/>
        <charset val="134"/>
        <scheme val="minor"/>
      </rPr>
      <t>汉</t>
    </r>
  </si>
  <si>
    <r>
      <t>开胃酒; 青稞酒; 利口酒;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葡萄酒; 白酒;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</si>
  <si>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澳尼森</t>
  </si>
  <si>
    <t>黄香</t>
  </si>
  <si>
    <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果酒（含酒精）; 威士忌</t>
    </r>
  </si>
  <si>
    <r>
      <t>糀物</t>
    </r>
    <r>
      <rPr>
        <sz val="11"/>
        <color theme="1"/>
        <rFont val="ＭＳ Ｐゴシック"/>
        <family val="3"/>
        <charset val="134"/>
        <scheme val="minor"/>
      </rPr>
      <t>语</t>
    </r>
  </si>
  <si>
    <r>
      <t>浙江桂</t>
    </r>
    <r>
      <rPr>
        <sz val="11"/>
        <color theme="1"/>
        <rFont val="ＭＳ Ｐゴシック"/>
        <family val="3"/>
        <charset val="134"/>
        <scheme val="minor"/>
      </rPr>
      <t>贺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</si>
  <si>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 xml:space="preserve">米酒; 朗姆酒;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汽酒; 白酒; 高粱酒; 清酒</t>
    </r>
  </si>
  <si>
    <t>玉液关</t>
  </si>
  <si>
    <r>
      <t>赵</t>
    </r>
    <r>
      <rPr>
        <sz val="11"/>
        <color theme="1"/>
        <rFont val="ＭＳ Ｐゴシック"/>
        <family val="3"/>
        <charset val="128"/>
        <scheme val="minor"/>
      </rPr>
      <t>嘉洹</t>
    </r>
  </si>
  <si>
    <r>
      <t>黄酒; 清酒（日本米酒）; 威士忌; 烈酒;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开胃酒; 葡萄酒; 白酒</t>
    </r>
  </si>
  <si>
    <r>
      <t>连</t>
    </r>
    <r>
      <rPr>
        <sz val="11"/>
        <color theme="1"/>
        <rFont val="ＭＳ Ｐゴシック"/>
        <family val="3"/>
        <charset val="128"/>
        <scheme val="minor"/>
      </rPr>
      <t>理繁花</t>
    </r>
    <r>
      <rPr>
        <sz val="11"/>
        <color theme="1"/>
        <rFont val="ＭＳ Ｐゴシック"/>
        <family val="3"/>
        <charset val="134"/>
        <scheme val="minor"/>
      </rPr>
      <t>锦</t>
    </r>
  </si>
  <si>
    <r>
      <t>开胃酒;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果酒（含酒精）; 黄酒; 高粱酒; 清酒;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白酒</t>
    </r>
  </si>
  <si>
    <r>
      <t>这亩</t>
    </r>
    <r>
      <rPr>
        <sz val="11"/>
        <color theme="1"/>
        <rFont val="ＭＳ Ｐゴシック"/>
        <family val="3"/>
        <charset val="128"/>
        <scheme val="minor"/>
      </rPr>
      <t>地</t>
    </r>
  </si>
  <si>
    <t>致养（上海）食品有限公司</t>
  </si>
  <si>
    <r>
      <t xml:space="preserve">青稞酒;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开胃酒; 葡萄酒;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</si>
  <si>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满</t>
    </r>
    <r>
      <rPr>
        <sz val="11"/>
        <color theme="1"/>
        <rFont val="ＭＳ Ｐゴシック"/>
        <family val="3"/>
        <charset val="128"/>
        <scheme val="minor"/>
      </rPr>
      <t>川里</t>
    </r>
  </si>
  <si>
    <r>
      <t>四川蜀成商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</si>
  <si>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清酒;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果酒; 烈酒; 米酒; 葡萄酒; 开胃酒; 甜酒; 利口酒</t>
    </r>
  </si>
  <si>
    <r>
      <t>壶</t>
    </r>
    <r>
      <rPr>
        <sz val="11"/>
        <color theme="1"/>
        <rFont val="ＭＳ Ｐゴシック"/>
        <family val="3"/>
        <charset val="128"/>
        <scheme val="minor"/>
      </rPr>
      <t>塘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</si>
  <si>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烈酒; 葡萄酒; 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</t>
    </r>
  </si>
  <si>
    <t>FINCA MONEDA</t>
  </si>
  <si>
    <r>
      <t>陕</t>
    </r>
    <r>
      <rPr>
        <sz val="11"/>
        <color theme="1"/>
        <rFont val="ＭＳ Ｐゴシック"/>
        <family val="3"/>
        <charset val="128"/>
        <scheme val="minor"/>
      </rPr>
      <t>西新</t>
    </r>
    <r>
      <rPr>
        <sz val="11"/>
        <color theme="1"/>
        <rFont val="ＭＳ Ｐゴシック"/>
        <family val="3"/>
        <charset val="134"/>
        <scheme val="minor"/>
      </rPr>
      <t>丝</t>
    </r>
    <r>
      <rPr>
        <sz val="11"/>
        <color theme="1"/>
        <rFont val="ＭＳ Ｐゴシック"/>
        <family val="3"/>
        <charset val="128"/>
        <scheme val="minor"/>
      </rPr>
      <t>路咖啡文化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</si>
  <si>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伏特加酒;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黄酒; 朗姆酒;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白酒; 汽酒; 葡萄酒</t>
    </r>
  </si>
  <si>
    <t>昨日情歌</t>
  </si>
  <si>
    <r>
      <t>杭州离</t>
    </r>
    <r>
      <rPr>
        <sz val="11"/>
        <color theme="1"/>
        <rFont val="ＭＳ Ｐゴシック"/>
        <family val="3"/>
        <charset val="134"/>
        <scheme val="minor"/>
      </rPr>
      <t>别</t>
    </r>
    <r>
      <rPr>
        <sz val="11"/>
        <color theme="1"/>
        <rFont val="ＭＳ Ｐゴシック"/>
        <family val="3"/>
        <charset val="128"/>
        <scheme val="minor"/>
      </rPr>
      <t>的站台生物科技有限公司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</si>
  <si>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</si>
  <si>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九道</t>
    </r>
    <r>
      <rPr>
        <sz val="11"/>
        <color theme="1"/>
        <rFont val="ＭＳ Ｐゴシック"/>
        <family val="3"/>
        <charset val="134"/>
        <scheme val="minor"/>
      </rPr>
      <t>满</t>
    </r>
  </si>
  <si>
    <t>林圣森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</si>
  <si>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开胃酒; 清酒（日本米酒）;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米酒; 果酒（含酒精）; 利口酒;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</si>
  <si>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双</t>
    </r>
    <r>
      <rPr>
        <sz val="11"/>
        <color theme="1"/>
        <rFont val="ＭＳ Ｐゴシック"/>
        <family val="3"/>
        <charset val="134"/>
        <scheme val="minor"/>
      </rPr>
      <t>骥</t>
    </r>
  </si>
  <si>
    <t>沈阳市新潮包装材料有限公司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</si>
  <si>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高粱酒;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葡萄酒; 白酒; 黄酒;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</si>
  <si>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鲁</t>
    </r>
    <r>
      <rPr>
        <sz val="11"/>
        <color theme="1"/>
        <rFont val="ＭＳ Ｐゴシック"/>
        <family val="3"/>
        <charset val="128"/>
        <scheme val="minor"/>
      </rPr>
      <t>量</t>
    </r>
  </si>
  <si>
    <t>李振振</t>
  </si>
  <si>
    <r>
      <t>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草莓酒; 白酒;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食用酒精;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</si>
  <si>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榕玖奇</t>
  </si>
  <si>
    <t>刘彦</t>
  </si>
  <si>
    <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米酒;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烈酒; 白酒; 黄酒; 果酒（含酒精）;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</t>
    </r>
  </si>
  <si>
    <r>
      <t>谦</t>
    </r>
    <r>
      <rPr>
        <sz val="11"/>
        <color theme="1"/>
        <rFont val="ＭＳ Ｐゴシック"/>
        <family val="3"/>
        <charset val="128"/>
        <scheme val="minor"/>
      </rPr>
      <t>凌</t>
    </r>
  </si>
  <si>
    <r>
      <t>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餐后酒（利口酒和烈酒）; 露酒;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苹果酒; 白酒; 米酒;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</si>
  <si>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汣浆</t>
    </r>
    <r>
      <rPr>
        <sz val="11"/>
        <color theme="1"/>
        <rFont val="ＭＳ Ｐゴシック"/>
        <family val="3"/>
        <charset val="128"/>
        <scheme val="minor"/>
      </rPr>
      <t>山</t>
    </r>
  </si>
  <si>
    <r>
      <t xml:space="preserve">黄酒; 开胃酒; 威士忌;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烈酒;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</t>
    </r>
  </si>
  <si>
    <r>
      <t>众淳</t>
    </r>
    <r>
      <rPr>
        <sz val="11"/>
        <color theme="1"/>
        <rFont val="ＭＳ Ｐゴシック"/>
        <family val="3"/>
        <charset val="134"/>
        <scheme val="minor"/>
      </rPr>
      <t>荟</t>
    </r>
  </si>
  <si>
    <r>
      <t>刘燕</t>
    </r>
    <r>
      <rPr>
        <sz val="11"/>
        <color theme="1"/>
        <rFont val="ＭＳ Ｐゴシック"/>
        <family val="3"/>
        <charset val="134"/>
        <scheme val="minor"/>
      </rPr>
      <t>凤</t>
    </r>
  </si>
  <si>
    <r>
      <t xml:space="preserve">果酒（含酒精）; 五加皮酒（中国混合烈酒）; 白酒; 葡萄酒; 甜果酒; 柑香酒;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</si>
  <si>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潭接</t>
  </si>
  <si>
    <r>
      <t>蜀国春酒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股份有限公司</t>
    </r>
  </si>
  <si>
    <r>
      <t>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汽酒; 利口酒;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米酒; 白酒</t>
    </r>
  </si>
  <si>
    <t>山水徐行</t>
  </si>
  <si>
    <t>梁叶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</si>
  <si>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高粱酒;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葡萄酒; 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</si>
  <si>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t>月伴晨昏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</si>
  <si>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34"/>
        <scheme val="minor"/>
      </rPr>
      <t>贵</t>
    </r>
    <r>
      <rPr>
        <sz val="11"/>
        <color theme="1"/>
        <rFont val="ＭＳ Ｐゴシック"/>
        <family val="3"/>
        <charset val="128"/>
        <scheme val="minor"/>
      </rPr>
      <t>仁</t>
    </r>
    <r>
      <rPr>
        <sz val="11"/>
        <color theme="1"/>
        <rFont val="ＭＳ Ｐゴシック"/>
        <family val="3"/>
        <charset val="134"/>
        <scheme val="minor"/>
      </rPr>
      <t>贵</t>
    </r>
    <r>
      <rPr>
        <sz val="11"/>
        <color theme="1"/>
        <rFont val="ＭＳ Ｐゴシック"/>
        <family val="3"/>
        <charset val="128"/>
        <scheme val="minor"/>
      </rPr>
      <t>品商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</si>
  <si>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黄酒; 葡萄酒;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 xml:space="preserve">汁;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</t>
    </r>
  </si>
  <si>
    <t>海如天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</si>
  <si>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州正永和酒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股份有限公司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</si>
  <si>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黄酒; 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青稞酒; 白酒; 白干酒（中国白酒）; 烈酒; 清酒; 高粱酒</t>
    </r>
  </si>
  <si>
    <t>中夏至嘉</t>
  </si>
  <si>
    <t>刘源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</si>
  <si>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米酒; 葡萄酒; 清酒（日本米酒）;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黄酒; 白酒;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</si>
  <si>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姚昌</t>
    </r>
    <r>
      <rPr>
        <sz val="11"/>
        <color theme="1"/>
        <rFont val="ＭＳ Ｐゴシック"/>
        <family val="3"/>
        <charset val="134"/>
        <scheme val="minor"/>
      </rPr>
      <t>记</t>
    </r>
  </si>
  <si>
    <t>姚宇健(******************)</t>
  </si>
  <si>
    <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威士忌;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</si>
  <si>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经</t>
    </r>
    <r>
      <rPr>
        <sz val="11"/>
        <color theme="1"/>
        <rFont val="ＭＳ Ｐゴシック"/>
        <family val="3"/>
        <charset val="128"/>
        <scheme val="minor"/>
      </rPr>
      <t>典小帆船</t>
    </r>
  </si>
  <si>
    <r>
      <t>利口酒; 白酒; 米酒; 烈酒; 果酒; 含酒精的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尾酒混合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品; 葡萄酒;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汽酒; 含酒精的气泡水</t>
    </r>
  </si>
  <si>
    <t>文祝台</t>
  </si>
  <si>
    <t>刘秀秀</t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</si>
  <si>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露酒;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>酒; 高粱酒;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威士忌;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白酒</t>
    </r>
  </si>
  <si>
    <t>酒仰悟空</t>
  </si>
  <si>
    <r>
      <t>玖富数科科技集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</si>
  <si>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葡萄酒; 白酒; 黄酒; 青稞酒;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开胃酒;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</si>
  <si>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酒仰悟空</t>
    </r>
    <r>
      <rPr>
        <sz val="11"/>
        <color theme="1"/>
        <rFont val="ＭＳ Ｐゴシック"/>
        <family val="3"/>
        <charset val="134"/>
        <scheme val="minor"/>
      </rPr>
      <t>龙凤</t>
    </r>
    <r>
      <rPr>
        <sz val="11"/>
        <color theme="1"/>
        <rFont val="ＭＳ Ｐゴシック"/>
        <family val="3"/>
        <charset val="128"/>
        <scheme val="minor"/>
      </rPr>
      <t>呈祥</t>
    </r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</si>
  <si>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开胃酒;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青稞酒; 葡萄酒</t>
    </r>
  </si>
  <si>
    <t>蘑和天下</t>
  </si>
  <si>
    <r>
      <t>呼</t>
    </r>
    <r>
      <rPr>
        <sz val="11"/>
        <color theme="1"/>
        <rFont val="ＭＳ Ｐゴシック"/>
        <family val="3"/>
        <charset val="134"/>
        <scheme val="minor"/>
      </rPr>
      <t>伦贝尔</t>
    </r>
    <r>
      <rPr>
        <sz val="11"/>
        <color theme="1"/>
        <rFont val="ＭＳ Ｐゴシック"/>
        <family val="3"/>
        <charset val="128"/>
        <scheme val="minor"/>
      </rPr>
      <t>侯氏酒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</si>
  <si>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高粱酒;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烈性干酒;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食用酒精;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</si>
  <si>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r>
      <t>赣</t>
    </r>
    <r>
      <rPr>
        <sz val="11"/>
        <color theme="1"/>
        <rFont val="ＭＳ Ｐゴシック"/>
        <family val="3"/>
        <charset val="128"/>
        <scheme val="minor"/>
      </rPr>
      <t>雀楼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</si>
  <si>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伏特加酒;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食用酒精; 黄酒;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葡萄酒; 白酒</t>
    </r>
  </si>
  <si>
    <t>SOLIKO TUSHIAN</t>
  </si>
  <si>
    <r>
      <t>温州迪莎堡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</si>
  <si>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主的开胃酒;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起泡白葡萄酒; 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制好的葡萄酒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酸酒（低等葡萄酒）</t>
    </r>
  </si>
  <si>
    <t>MANZHIHONG</t>
  </si>
  <si>
    <r>
      <t>淄博</t>
    </r>
    <r>
      <rPr>
        <sz val="11"/>
        <color theme="1"/>
        <rFont val="ＭＳ Ｐゴシック"/>
        <family val="3"/>
        <charset val="134"/>
        <scheme val="minor"/>
      </rPr>
      <t>满</t>
    </r>
    <r>
      <rPr>
        <sz val="11"/>
        <color theme="1"/>
        <rFont val="ＭＳ Ｐゴシック"/>
        <family val="3"/>
        <charset val="128"/>
        <scheme val="minor"/>
      </rPr>
      <t>枝</t>
    </r>
    <r>
      <rPr>
        <sz val="11"/>
        <color theme="1"/>
        <rFont val="ＭＳ Ｐゴシック"/>
        <family val="3"/>
        <charset val="134"/>
        <scheme val="minor"/>
      </rPr>
      <t>红农业</t>
    </r>
    <r>
      <rPr>
        <sz val="11"/>
        <color theme="1"/>
        <rFont val="ＭＳ Ｐゴシック"/>
        <family val="3"/>
        <charset val="128"/>
        <scheme val="minor"/>
      </rPr>
      <t>旅游开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</si>
  <si>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餐后酒（利口酒和烈酒）; 水果汽酒; 开胃酒;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果酒; 葡萄酒; 白酒;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米酒</t>
    </r>
  </si>
  <si>
    <r>
      <t>这亩</t>
    </r>
    <r>
      <rPr>
        <sz val="11"/>
        <color theme="1"/>
        <rFont val="ＭＳ Ｐゴシック"/>
        <family val="3"/>
        <charset val="128"/>
        <scheme val="minor"/>
      </rPr>
      <t>田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</si>
  <si>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黄酒;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白酒; 青稞酒;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</si>
  <si>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揭克杜克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</si>
  <si>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米酒;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酸酒（低等葡萄酒）;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清酒;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</t>
    </r>
  </si>
  <si>
    <r>
      <t>罗</t>
    </r>
    <r>
      <rPr>
        <sz val="11"/>
        <color theme="1"/>
        <rFont val="ＭＳ Ｐゴシック"/>
        <family val="3"/>
        <charset val="128"/>
        <scheme val="minor"/>
      </rPr>
      <t>臣（上海）</t>
    </r>
    <r>
      <rPr>
        <sz val="11"/>
        <color theme="1"/>
        <rFont val="ＭＳ Ｐゴシック"/>
        <family val="3"/>
        <charset val="134"/>
        <scheme val="minor"/>
      </rPr>
      <t>进</t>
    </r>
    <r>
      <rPr>
        <sz val="11"/>
        <color theme="1"/>
        <rFont val="ＭＳ Ｐゴシック"/>
        <family val="3"/>
        <charset val="128"/>
        <scheme val="minor"/>
      </rPr>
      <t>出口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</si>
  <si>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清酒（日本米酒）; 开胃酒; 米酒; 威士忌; 果酒（含酒精）; 蜂蜜酒; 白酒; 葡萄酒; 黄酒</t>
    </r>
  </si>
  <si>
    <r>
      <t>日照港酒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造有限公司</t>
    </r>
  </si>
  <si>
    <r>
      <t>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食用酒精; 白酒; 果酒（含酒精）; 清酒（日本米酒）;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</si>
  <si>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陆陆</t>
    </r>
    <r>
      <rPr>
        <sz val="11"/>
        <color theme="1"/>
        <rFont val="ＭＳ Ｐゴシック"/>
        <family val="3"/>
        <charset val="128"/>
        <scheme val="minor"/>
      </rPr>
      <t>耶</t>
    </r>
  </si>
  <si>
    <r>
      <t>陆</t>
    </r>
    <r>
      <rPr>
        <sz val="11"/>
        <color theme="1"/>
        <rFont val="ＭＳ Ｐゴシック"/>
        <family val="3"/>
        <charset val="128"/>
        <scheme val="minor"/>
      </rPr>
      <t>宇</t>
    </r>
  </si>
  <si>
    <r>
      <t>白酒; 葡萄酒; 朗姆酒;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食用酒精; 果酒; 黄酒</t>
    </r>
  </si>
  <si>
    <r>
      <t>凤阁</t>
    </r>
    <r>
      <rPr>
        <sz val="11"/>
        <color theme="1"/>
        <rFont val="ＭＳ Ｐゴシック"/>
        <family val="3"/>
        <charset val="128"/>
        <scheme val="minor"/>
      </rPr>
      <t>舍人</t>
    </r>
  </si>
  <si>
    <r>
      <t>孙</t>
    </r>
    <r>
      <rPr>
        <sz val="11"/>
        <color theme="1"/>
        <rFont val="ＭＳ Ｐゴシック"/>
        <family val="3"/>
        <charset val="128"/>
        <scheme val="minor"/>
      </rPr>
      <t>秀</t>
    </r>
    <r>
      <rPr>
        <sz val="11"/>
        <color theme="1"/>
        <rFont val="ＭＳ Ｐゴシック"/>
        <family val="3"/>
        <charset val="134"/>
        <scheme val="minor"/>
      </rPr>
      <t>红</t>
    </r>
  </si>
  <si>
    <r>
      <t>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葡萄酒; 米酒</t>
    </r>
  </si>
  <si>
    <t>沉心境</t>
  </si>
  <si>
    <r>
      <t>深圳市</t>
    </r>
    <r>
      <rPr>
        <sz val="11"/>
        <color theme="1"/>
        <rFont val="ＭＳ Ｐゴシック"/>
        <family val="3"/>
        <charset val="134"/>
        <scheme val="minor"/>
      </rPr>
      <t>寻</t>
    </r>
    <r>
      <rPr>
        <sz val="11"/>
        <color theme="1"/>
        <rFont val="ＭＳ Ｐゴシック"/>
        <family val="3"/>
        <charset val="128"/>
        <scheme val="minor"/>
      </rPr>
      <t>踪者科技有限公司</t>
    </r>
  </si>
  <si>
    <r>
      <t>白酒;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甘蔗制酒精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日本梅子酒;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烈酒; 甜酒</t>
    </r>
  </si>
  <si>
    <t>梅日享</t>
  </si>
  <si>
    <t>黄小足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</si>
  <si>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果酒（含酒精）; 烈酒;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清酒（日本米酒）; 威士忌; 开胃酒</t>
    </r>
  </si>
  <si>
    <r>
      <t>银</t>
    </r>
    <r>
      <rPr>
        <sz val="11"/>
        <color theme="1"/>
        <rFont val="ＭＳ Ｐゴシック"/>
        <family val="3"/>
        <charset val="128"/>
        <scheme val="minor"/>
      </rPr>
      <t>清沙</t>
    </r>
    <r>
      <rPr>
        <sz val="11"/>
        <color theme="1"/>
        <rFont val="ＭＳ Ｐゴシック"/>
        <family val="3"/>
        <charset val="134"/>
        <scheme val="minor"/>
      </rPr>
      <t>汉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</si>
  <si>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开胃酒; 果酒（含酒精）; 黄酒;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利口酒; 葡萄酒; 青稞酒</t>
    </r>
  </si>
  <si>
    <r>
      <t>清沙</t>
    </r>
    <r>
      <rPr>
        <sz val="11"/>
        <color theme="1"/>
        <rFont val="ＭＳ Ｐゴシック"/>
        <family val="3"/>
        <charset val="134"/>
        <scheme val="minor"/>
      </rPr>
      <t>汉龙</t>
    </r>
  </si>
  <si>
    <r>
      <t xml:space="preserve">葡萄酒;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开胃酒;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青稞酒; 利口酒</t>
    </r>
  </si>
  <si>
    <r>
      <t>家香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奇</t>
    </r>
  </si>
  <si>
    <r>
      <t>白酒; 烈酒;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葡萄酒; 白干酒（中国白酒）; 高粱酒;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清酒（日本米酒）</t>
    </r>
  </si>
  <si>
    <r>
      <t>麦德</t>
    </r>
    <r>
      <rPr>
        <sz val="11"/>
        <color theme="1"/>
        <rFont val="ＭＳ Ｐゴシック"/>
        <family val="3"/>
        <charset val="134"/>
        <scheme val="minor"/>
      </rPr>
      <t>发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</si>
  <si>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州百年匠</t>
    </r>
    <r>
      <rPr>
        <sz val="11"/>
        <color theme="1"/>
        <rFont val="ＭＳ Ｐゴシック"/>
        <family val="3"/>
        <charset val="134"/>
        <scheme val="minor"/>
      </rPr>
      <t>厅</t>
    </r>
    <r>
      <rPr>
        <sz val="11"/>
        <color theme="1"/>
        <rFont val="ＭＳ Ｐゴシック"/>
        <family val="3"/>
        <charset val="128"/>
        <scheme val="minor"/>
      </rPr>
      <t>健康</t>
    </r>
    <r>
      <rPr>
        <sz val="11"/>
        <color theme="1"/>
        <rFont val="ＭＳ Ｐゴシック"/>
        <family val="3"/>
        <charset val="134"/>
        <scheme val="minor"/>
      </rPr>
      <t>产业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</si>
  <si>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餐后酒（利口酒和烈酒）;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白干酒（中国白酒）; 高粱酒; 白酒;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</t>
    </r>
  </si>
  <si>
    <r>
      <t>乐</t>
    </r>
    <r>
      <rPr>
        <sz val="11"/>
        <color theme="1"/>
        <rFont val="ＭＳ Ｐゴシック"/>
        <family val="3"/>
        <charset val="128"/>
        <scheme val="minor"/>
      </rPr>
      <t>舜</t>
    </r>
    <r>
      <rPr>
        <sz val="11"/>
        <color theme="1"/>
        <rFont val="ＭＳ Ｐゴシック"/>
        <family val="3"/>
        <charset val="134"/>
        <scheme val="minor"/>
      </rPr>
      <t>记</t>
    </r>
  </si>
  <si>
    <r>
      <t>宁波</t>
    </r>
    <r>
      <rPr>
        <sz val="11"/>
        <color theme="1"/>
        <rFont val="ＭＳ Ｐゴシック"/>
        <family val="3"/>
        <charset val="134"/>
        <scheme val="minor"/>
      </rPr>
      <t>乐</t>
    </r>
    <r>
      <rPr>
        <sz val="11"/>
        <color theme="1"/>
        <rFont val="ＭＳ Ｐゴシック"/>
        <family val="3"/>
        <charset val="128"/>
        <scheme val="minor"/>
      </rPr>
      <t>老号品牌管理有限公司</t>
    </r>
  </si>
  <si>
    <t>果酒（含酒精）; 威士忌; 葡萄酒; 米酒; 食用酒精; 清酒（日本米酒）; 汽酒; 黄酒; 白酒; 蜂蜜酒</t>
  </si>
  <si>
    <t>李昊翰</t>
  </si>
  <si>
    <r>
      <t xml:space="preserve">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白酒; 青稞酒; 伏特加酒;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</t>
    </r>
  </si>
  <si>
    <r>
      <t>京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楚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</si>
  <si>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葡萄酒; 威士忌</t>
    </r>
  </si>
  <si>
    <t>豫英</t>
  </si>
  <si>
    <r>
      <t>郑</t>
    </r>
    <r>
      <rPr>
        <sz val="11"/>
        <color theme="1"/>
        <rFont val="ＭＳ Ｐゴシック"/>
        <family val="3"/>
        <charset val="128"/>
        <scheme val="minor"/>
      </rPr>
      <t>州佰茂</t>
    </r>
    <r>
      <rPr>
        <sz val="11"/>
        <color theme="1"/>
        <rFont val="ＭＳ Ｐゴシック"/>
        <family val="3"/>
        <charset val="134"/>
        <scheme val="minor"/>
      </rPr>
      <t>汇</t>
    </r>
    <r>
      <rPr>
        <sz val="11"/>
        <color theme="1"/>
        <rFont val="ＭＳ Ｐゴシック"/>
        <family val="3"/>
        <charset val="128"/>
        <scheme val="minor"/>
      </rPr>
      <t>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</si>
  <si>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葡萄酒; 开胃酒; 黄酒</t>
    </r>
  </si>
  <si>
    <t>SVETITSKHOVELI</t>
  </si>
  <si>
    <r>
      <t xml:space="preserve">葡萄酒; 酸酒（低等葡萄酒）; 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制好的葡萄酒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起泡白葡萄酒;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主的开胃酒;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</si>
  <si>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誉福隆</t>
  </si>
  <si>
    <r>
      <t xml:space="preserve">白酒; 清酒（日本米酒）;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葡萄酒; 青稞酒; 黄酒; 食用酒精; 米酒</t>
    </r>
  </si>
  <si>
    <r>
      <t>黄酒; 米酒; 果酒（含酒精）;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</si>
  <si>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小帆船臻</t>
    </r>
    <r>
      <rPr>
        <sz val="11"/>
        <color theme="1"/>
        <rFont val="ＭＳ Ｐゴシック"/>
        <family val="3"/>
        <charset val="134"/>
        <scheme val="minor"/>
      </rPr>
      <t>选</t>
    </r>
  </si>
  <si>
    <r>
      <t>果酒;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汽酒; 含酒精的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尾酒混合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品; 烈酒; 含酒精的气泡水; 利口酒; 米酒; 白酒</t>
    </r>
  </si>
  <si>
    <t>石古湾</t>
  </si>
  <si>
    <t>梁建玲******************</t>
  </si>
  <si>
    <r>
      <t>黄酒; 白酒;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果酒;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</t>
    </r>
  </si>
  <si>
    <r>
      <t>龙</t>
    </r>
    <r>
      <rPr>
        <sz val="11"/>
        <color theme="1"/>
        <rFont val="ＭＳ Ｐゴシック"/>
        <family val="3"/>
        <charset val="128"/>
        <scheme val="minor"/>
      </rPr>
      <t>洄江湖</t>
    </r>
  </si>
  <si>
    <r>
      <t>泸</t>
    </r>
    <r>
      <rPr>
        <sz val="11"/>
        <color theme="1"/>
        <rFont val="ＭＳ Ｐゴシック"/>
        <family val="3"/>
        <charset val="128"/>
        <scheme val="minor"/>
      </rPr>
      <t>州白酒庄园投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</si>
  <si>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果酒; 葡萄酒; 蒸煮提取物（利口酒和烈酒）;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</t>
    </r>
  </si>
  <si>
    <t>高竹箐</t>
  </si>
  <si>
    <r>
      <t>高竹健</t>
    </r>
    <r>
      <rPr>
        <sz val="11"/>
        <color theme="1"/>
        <rFont val="ＭＳ Ｐゴシック"/>
        <family val="3"/>
        <charset val="134"/>
        <scheme val="minor"/>
      </rPr>
      <t>龙农</t>
    </r>
    <r>
      <rPr>
        <sz val="11"/>
        <color theme="1"/>
        <rFont val="ＭＳ Ｐゴシック"/>
        <family val="3"/>
        <charset val="128"/>
        <scheme val="minor"/>
      </rPr>
      <t>副</t>
    </r>
    <r>
      <rPr>
        <sz val="11"/>
        <color theme="1"/>
        <rFont val="ＭＳ Ｐゴシック"/>
        <family val="3"/>
        <charset val="134"/>
        <scheme val="minor"/>
      </rPr>
      <t>产</t>
    </r>
    <r>
      <rPr>
        <sz val="11"/>
        <color theme="1"/>
        <rFont val="ＭＳ Ｐゴシック"/>
        <family val="3"/>
        <charset val="128"/>
        <scheme val="minor"/>
      </rPr>
      <t>品(重</t>
    </r>
    <r>
      <rPr>
        <sz val="11"/>
        <color theme="1"/>
        <rFont val="ＭＳ Ｐゴシック"/>
        <family val="3"/>
        <charset val="134"/>
        <scheme val="minor"/>
      </rPr>
      <t>庆</t>
    </r>
    <r>
      <rPr>
        <sz val="11"/>
        <color theme="1"/>
        <rFont val="ＭＳ Ｐゴシック"/>
        <family val="3"/>
        <charset val="128"/>
        <scheme val="minor"/>
      </rPr>
      <t>)有限公司</t>
    </r>
  </si>
  <si>
    <r>
      <t xml:space="preserve">白干酒（中国白酒）;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清酒; 果酒; 开胃酒; 白酒; 烈酒;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</t>
    </r>
  </si>
  <si>
    <r>
      <t>玉</t>
    </r>
    <r>
      <rPr>
        <sz val="11"/>
        <color theme="1"/>
        <rFont val="ＭＳ Ｐゴシック"/>
        <family val="3"/>
        <charset val="134"/>
        <scheme val="minor"/>
      </rPr>
      <t>环</t>
    </r>
    <r>
      <rPr>
        <sz val="11"/>
        <color theme="1"/>
        <rFont val="ＭＳ Ｐゴシック"/>
        <family val="3"/>
        <charset val="128"/>
        <scheme val="minor"/>
      </rPr>
      <t>市文旦</t>
    </r>
    <r>
      <rPr>
        <sz val="11"/>
        <color theme="1"/>
        <rFont val="ＭＳ Ｐゴシック"/>
        <family val="3"/>
        <charset val="134"/>
        <scheme val="minor"/>
      </rPr>
      <t>产业</t>
    </r>
    <r>
      <rPr>
        <sz val="11"/>
        <color theme="1"/>
        <rFont val="ＭＳ Ｐゴシック"/>
        <family val="3"/>
        <charset val="128"/>
        <scheme val="minor"/>
      </rPr>
      <t>技</t>
    </r>
    <r>
      <rPr>
        <sz val="11"/>
        <color theme="1"/>
        <rFont val="ＭＳ Ｐゴシック"/>
        <family val="3"/>
        <charset val="134"/>
        <scheme val="minor"/>
      </rPr>
      <t>术协</t>
    </r>
    <r>
      <rPr>
        <sz val="11"/>
        <color theme="1"/>
        <rFont val="ＭＳ Ｐゴシック"/>
        <family val="3"/>
        <charset val="128"/>
        <scheme val="minor"/>
      </rPr>
      <t>会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</si>
  <si>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食用酒精; 葡萄酒; 白酒;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果酒（含酒精）</t>
    </r>
  </si>
  <si>
    <r>
      <t>大</t>
    </r>
    <r>
      <rPr>
        <sz val="11"/>
        <color theme="1"/>
        <rFont val="ＭＳ Ｐゴシック"/>
        <family val="3"/>
        <charset val="134"/>
        <scheme val="minor"/>
      </rPr>
      <t>连华饪</t>
    </r>
    <r>
      <rPr>
        <sz val="11"/>
        <color theme="1"/>
        <rFont val="ＭＳ Ｐゴシック"/>
        <family val="3"/>
        <charset val="128"/>
        <scheme val="minor"/>
      </rPr>
      <t>数字科技有限公司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</si>
  <si>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青稞酒;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米酒; 葡萄酒; 果酒（含酒精）; 威士忌; 白酒; 梨酒</t>
    </r>
  </si>
  <si>
    <t>君自德</t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</si>
  <si>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清酒（日本米酒）;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白酒; 高粱酒; 葡萄酒</t>
    </r>
  </si>
  <si>
    <r>
      <t>善聚</t>
    </r>
    <r>
      <rPr>
        <sz val="11"/>
        <color theme="1"/>
        <rFont val="ＭＳ Ｐゴシック"/>
        <family val="3"/>
        <charset val="134"/>
        <scheme val="minor"/>
      </rPr>
      <t>腾</t>
    </r>
    <r>
      <rPr>
        <sz val="11"/>
        <color theme="1"/>
        <rFont val="ＭＳ Ｐゴシック"/>
        <family val="3"/>
        <charset val="128"/>
        <scheme val="minor"/>
      </rPr>
      <t>达</t>
    </r>
  </si>
  <si>
    <r>
      <t>李玉</t>
    </r>
    <r>
      <rPr>
        <sz val="11"/>
        <color theme="1"/>
        <rFont val="ＭＳ Ｐゴシック"/>
        <family val="3"/>
        <charset val="134"/>
        <scheme val="minor"/>
      </rPr>
      <t>颖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</si>
  <si>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黄酒; 葡萄酒;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开胃酒;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</si>
  <si>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娟小娘</t>
  </si>
  <si>
    <r>
      <t>湖南</t>
    </r>
    <r>
      <rPr>
        <sz val="11"/>
        <color theme="1"/>
        <rFont val="ＭＳ Ｐゴシック"/>
        <family val="3"/>
        <charset val="134"/>
        <scheme val="minor"/>
      </rPr>
      <t>乡</t>
    </r>
    <r>
      <rPr>
        <sz val="11"/>
        <color theme="1"/>
        <rFont val="ＭＳ Ｐゴシック"/>
        <family val="3"/>
        <charset val="128"/>
        <scheme val="minor"/>
      </rPr>
      <t>情</t>
    </r>
    <r>
      <rPr>
        <sz val="11"/>
        <color theme="1"/>
        <rFont val="ＭＳ Ｐゴシック"/>
        <family val="3"/>
        <charset val="134"/>
        <scheme val="minor"/>
      </rPr>
      <t>乡</t>
    </r>
    <r>
      <rPr>
        <sz val="11"/>
        <color theme="1"/>
        <rFont val="ＭＳ Ｐゴシック"/>
        <family val="3"/>
        <charset val="128"/>
        <scheme val="minor"/>
      </rPr>
      <t>景旅游文化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播有限公司</t>
    </r>
  </si>
  <si>
    <r>
      <t xml:space="preserve">白酒; 米酒; 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黄酒; 开胃酒; 葡萄酒; 梅酒;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</si>
  <si>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r>
      <t>金</t>
    </r>
    <r>
      <rPr>
        <sz val="11"/>
        <color theme="1"/>
        <rFont val="ＭＳ Ｐゴシック"/>
        <family val="3"/>
        <charset val="134"/>
        <scheme val="minor"/>
      </rPr>
      <t>齐发</t>
    </r>
  </si>
  <si>
    <r>
      <t>东营</t>
    </r>
    <r>
      <rPr>
        <sz val="11"/>
        <color theme="1"/>
        <rFont val="ＭＳ Ｐゴシック"/>
        <family val="3"/>
        <charset val="128"/>
        <scheme val="minor"/>
      </rPr>
      <t>市</t>
    </r>
    <r>
      <rPr>
        <sz val="11"/>
        <color theme="1"/>
        <rFont val="ＭＳ Ｐゴシック"/>
        <family val="3"/>
        <charset val="134"/>
        <scheme val="minor"/>
      </rPr>
      <t>齐发</t>
    </r>
    <r>
      <rPr>
        <sz val="11"/>
        <color theme="1"/>
        <rFont val="ＭＳ Ｐゴシック"/>
        <family val="3"/>
        <charset val="128"/>
        <scheme val="minor"/>
      </rPr>
      <t>种植</t>
    </r>
    <r>
      <rPr>
        <sz val="11"/>
        <color theme="1"/>
        <rFont val="ＭＳ Ｐゴシック"/>
        <family val="3"/>
        <charset val="134"/>
        <scheme val="minor"/>
      </rPr>
      <t>农</t>
    </r>
    <r>
      <rPr>
        <sz val="11"/>
        <color theme="1"/>
        <rFont val="ＭＳ Ｐゴシック"/>
        <family val="3"/>
        <charset val="128"/>
        <scheme val="minor"/>
      </rPr>
      <t>民</t>
    </r>
    <r>
      <rPr>
        <sz val="11"/>
        <color theme="1"/>
        <rFont val="ＭＳ Ｐゴシック"/>
        <family val="3"/>
        <charset val="134"/>
        <scheme val="minor"/>
      </rPr>
      <t>专业</t>
    </r>
    <r>
      <rPr>
        <sz val="11"/>
        <color theme="1"/>
        <rFont val="ＭＳ Ｐゴシック"/>
        <family val="3"/>
        <charset val="128"/>
        <scheme val="minor"/>
      </rPr>
      <t>合作社</t>
    </r>
  </si>
  <si>
    <r>
      <t>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烈酒; 清酒;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果酒; 甜酒;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高粱酒</t>
    </r>
  </si>
  <si>
    <r>
      <t>新疆天云禾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</si>
  <si>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 xml:space="preserve">汁;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果酒（含酒精）;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白葡萄酒; 青稞酒;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</t>
    </r>
  </si>
  <si>
    <t>北京今日五洲酒店管理有限公司</t>
  </si>
  <si>
    <r>
      <t xml:space="preserve">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葡萄酒; 清酒; 白酒</t>
    </r>
  </si>
  <si>
    <r>
      <t>锦</t>
    </r>
    <r>
      <rPr>
        <sz val="11"/>
        <color theme="1"/>
        <rFont val="ＭＳ Ｐゴシック"/>
        <family val="3"/>
        <charset val="128"/>
        <scheme val="minor"/>
      </rPr>
      <t>酩礼</t>
    </r>
  </si>
  <si>
    <r>
      <t>葡萄酒; 果酒（含酒精）; 苹果酒; 白酒;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餐后酒（利口酒和烈酒）; 露酒; 米酒</t>
    </r>
  </si>
  <si>
    <t>慧泰</t>
  </si>
  <si>
    <t>杭州博瑞尼科技有限公司</t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</si>
  <si>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黄酒;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 xml:space="preserve">汁;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</t>
    </r>
  </si>
  <si>
    <t>LAIBANCHENG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</si>
  <si>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高粱酒; 果酒; 果酒（含酒精）; 利口酒; 青稞酒; 黄酒; 露酒; 白干酒（中国白酒）; 桃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葡萄酒; 清酒（日本米酒）; 米酒; 朝</t>
    </r>
    <r>
      <rPr>
        <sz val="11"/>
        <color theme="1"/>
        <rFont val="ＭＳ Ｐゴシック"/>
        <family val="3"/>
        <charset val="134"/>
        <scheme val="minor"/>
      </rPr>
      <t>鲜</t>
    </r>
    <r>
      <rPr>
        <sz val="11"/>
        <color theme="1"/>
        <rFont val="ＭＳ Ｐゴシック"/>
        <family val="3"/>
        <charset val="128"/>
        <scheme val="minor"/>
      </rPr>
      <t xml:space="preserve">族米酒; 清酒;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白酒; 白葡萄酒</t>
    </r>
  </si>
  <si>
    <t>南北状元坊</t>
  </si>
  <si>
    <r>
      <t>成都乾隆状元坊酒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</si>
  <si>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米酒;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食用酒精;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汽酒; 白酒</t>
    </r>
  </si>
  <si>
    <t>映状元</t>
  </si>
  <si>
    <r>
      <t>孙</t>
    </r>
    <r>
      <rPr>
        <sz val="11"/>
        <color theme="1"/>
        <rFont val="ＭＳ Ｐゴシック"/>
        <family val="3"/>
        <charset val="128"/>
        <scheme val="minor"/>
      </rPr>
      <t>晨皓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</si>
  <si>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威士忌;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白酒;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</t>
    </r>
  </si>
  <si>
    <r>
      <t>蓝</t>
    </r>
    <r>
      <rPr>
        <sz val="11"/>
        <color theme="1"/>
        <rFont val="ＭＳ Ｐゴシック"/>
        <family val="3"/>
        <charset val="128"/>
        <scheme val="minor"/>
      </rPr>
      <t>如海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</si>
  <si>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青稞酒; 黄酒; 高粱酒; 白酒; 露酒; 清酒; 烈酒;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白干酒（中国白酒）</t>
    </r>
  </si>
  <si>
    <r>
      <t>曼陀</t>
    </r>
    <r>
      <rPr>
        <sz val="11"/>
        <color theme="1"/>
        <rFont val="ＭＳ Ｐゴシック"/>
        <family val="3"/>
        <charset val="134"/>
        <scheme val="minor"/>
      </rPr>
      <t>丽</t>
    </r>
    <r>
      <rPr>
        <sz val="11"/>
        <color theme="1"/>
        <rFont val="ＭＳ Ｐゴシック"/>
        <family val="3"/>
        <charset val="128"/>
        <scheme val="minor"/>
      </rPr>
      <t>庄园</t>
    </r>
  </si>
  <si>
    <r>
      <t>龙</t>
    </r>
    <r>
      <rPr>
        <sz val="11"/>
        <color theme="1"/>
        <rFont val="ＭＳ Ｐゴシック"/>
        <family val="3"/>
        <charset val="128"/>
        <scheme val="minor"/>
      </rPr>
      <t>口市法卡</t>
    </r>
    <r>
      <rPr>
        <sz val="11"/>
        <color theme="1"/>
        <rFont val="ＭＳ Ｐゴシック"/>
        <family val="3"/>
        <charset val="134"/>
        <scheme val="minor"/>
      </rPr>
      <t>诺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</si>
  <si>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黄酒; 葡萄酒; 酸酒（低等葡萄酒）;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利口酒; 蒸煮提取物（利口酒和烈酒）;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开胃酒</t>
    </r>
  </si>
  <si>
    <r>
      <t>沃</t>
    </r>
    <r>
      <rPr>
        <sz val="11"/>
        <color theme="1"/>
        <rFont val="ＭＳ Ｐゴシック"/>
        <family val="3"/>
        <charset val="134"/>
        <scheme val="minor"/>
      </rPr>
      <t>尔龙</t>
    </r>
  </si>
  <si>
    <r>
      <t>张</t>
    </r>
    <r>
      <rPr>
        <sz val="11"/>
        <color theme="1"/>
        <rFont val="ＭＳ Ｐゴシック"/>
        <family val="3"/>
        <charset val="128"/>
        <scheme val="minor"/>
      </rPr>
      <t>少勤</t>
    </r>
  </si>
  <si>
    <r>
      <t>蜂蜜酒;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米酒; 蝮蛇酒;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黄酒; 食用酒精;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梅酒; 果酒</t>
    </r>
  </si>
  <si>
    <t>AMBICOZY</t>
  </si>
  <si>
    <r>
      <t>安比可思国</t>
    </r>
    <r>
      <rPr>
        <sz val="11"/>
        <color theme="1"/>
        <rFont val="ＭＳ Ｐゴシック"/>
        <family val="3"/>
        <charset val="134"/>
        <scheme val="minor"/>
      </rPr>
      <t>际</t>
    </r>
    <r>
      <rPr>
        <sz val="11"/>
        <color theme="1"/>
        <rFont val="ＭＳ Ｐゴシック"/>
        <family val="3"/>
        <charset val="128"/>
        <scheme val="minor"/>
      </rPr>
      <t>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（上海）有限公司</t>
    </r>
  </si>
  <si>
    <r>
      <t xml:space="preserve">葡萄酒; 威士忌;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利口酒; 朗姆酒; 杜松子酒; 伏特加酒</t>
    </r>
  </si>
  <si>
    <t>笑傲状元坊</t>
  </si>
  <si>
    <r>
      <t>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汽酒; 食用酒精;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果酒（含酒精）; 米酒;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</si>
  <si>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大街</t>
    </r>
    <r>
      <rPr>
        <sz val="11"/>
        <color theme="1"/>
        <rFont val="ＭＳ Ｐゴシック"/>
        <family val="3"/>
        <charset val="134"/>
        <scheme val="minor"/>
      </rPr>
      <t>顶</t>
    </r>
    <r>
      <rPr>
        <sz val="11"/>
        <color theme="1"/>
        <rFont val="ＭＳ Ｐゴシック"/>
        <family val="3"/>
        <charset val="128"/>
        <scheme val="minor"/>
      </rPr>
      <t>胡荣泉</t>
    </r>
  </si>
  <si>
    <r>
      <t>潮州市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食胡荣泉</t>
    </r>
    <r>
      <rPr>
        <sz val="11"/>
        <color theme="1"/>
        <rFont val="ＭＳ Ｐゴシック"/>
        <family val="3"/>
        <charset val="134"/>
        <scheme val="minor"/>
      </rPr>
      <t>门</t>
    </r>
    <r>
      <rPr>
        <sz val="11"/>
        <color theme="1"/>
        <rFont val="ＭＳ Ｐゴシック"/>
        <family val="3"/>
        <charset val="128"/>
        <scheme val="minor"/>
      </rPr>
      <t>市</t>
    </r>
  </si>
  <si>
    <r>
      <t>葡萄酒; 开胃酒;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清酒（日本米酒）; 威士忌</t>
    </r>
  </si>
  <si>
    <t>FQEAJ</t>
  </si>
  <si>
    <r>
      <t>夫妻恩</t>
    </r>
    <r>
      <rPr>
        <sz val="11"/>
        <color theme="1"/>
        <rFont val="ＭＳ Ｐゴシック"/>
        <family val="3"/>
        <charset val="134"/>
        <scheme val="minor"/>
      </rPr>
      <t>爱结</t>
    </r>
    <r>
      <rPr>
        <sz val="11"/>
        <color theme="1"/>
        <rFont val="ＭＳ Ｐゴシック"/>
        <family val="3"/>
        <charset val="128"/>
        <scheme val="minor"/>
      </rPr>
      <t>（南京）文化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</si>
  <si>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食用酒精; 果酒（含酒精）; 蒸煮提取物（利口酒和烈酒）;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</si>
  <si>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JAKEDUKE</t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</si>
  <si>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清酒; 白酒; 米酒; 葡萄酒; 酸酒（低等葡萄酒）; 黄酒</t>
    </r>
  </si>
  <si>
    <r>
      <t>东</t>
    </r>
    <r>
      <rPr>
        <sz val="11"/>
        <color theme="1"/>
        <rFont val="ＭＳ Ｐゴシック"/>
        <family val="3"/>
        <charset val="128"/>
        <scheme val="minor"/>
      </rPr>
      <t>方</t>
    </r>
    <r>
      <rPr>
        <sz val="11"/>
        <color theme="1"/>
        <rFont val="ＭＳ Ｐゴシック"/>
        <family val="3"/>
        <charset val="134"/>
        <scheme val="minor"/>
      </rPr>
      <t>贺</t>
    </r>
    <r>
      <rPr>
        <sz val="11"/>
        <color theme="1"/>
        <rFont val="ＭＳ Ｐゴシック"/>
        <family val="3"/>
        <charset val="128"/>
        <scheme val="minor"/>
      </rPr>
      <t>葡王</t>
    </r>
  </si>
  <si>
    <r>
      <t xml:space="preserve">黄酒; 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青稞酒; 葡萄酒; 汽酒; 白酒; 白葡萄酒;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果酒</t>
    </r>
  </si>
  <si>
    <r>
      <t>库槟</t>
    </r>
    <r>
      <rPr>
        <sz val="11"/>
        <color theme="1"/>
        <rFont val="ＭＳ Ｐゴシック"/>
        <family val="3"/>
        <charset val="128"/>
        <scheme val="minor"/>
      </rPr>
      <t>丰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</si>
  <si>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开胃酒; 米酒;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汽酒;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</t>
    </r>
  </si>
  <si>
    <r>
      <t>良</t>
    </r>
    <r>
      <rPr>
        <sz val="11"/>
        <color theme="1"/>
        <rFont val="ＭＳ Ｐゴシック"/>
        <family val="3"/>
        <charset val="134"/>
        <scheme val="minor"/>
      </rPr>
      <t>缘</t>
    </r>
    <r>
      <rPr>
        <sz val="11"/>
        <color theme="1"/>
        <rFont val="ＭＳ Ｐゴシック"/>
        <family val="3"/>
        <charset val="128"/>
        <scheme val="minor"/>
      </rPr>
      <t>廊</t>
    </r>
  </si>
  <si>
    <r>
      <t>重</t>
    </r>
    <r>
      <rPr>
        <sz val="11"/>
        <color theme="1"/>
        <rFont val="ＭＳ Ｐゴシック"/>
        <family val="3"/>
        <charset val="134"/>
        <scheme val="minor"/>
      </rPr>
      <t>庆</t>
    </r>
    <r>
      <rPr>
        <sz val="11"/>
        <color theme="1"/>
        <rFont val="ＭＳ Ｐゴシック"/>
        <family val="3"/>
        <charset val="128"/>
        <scheme val="minor"/>
      </rPr>
      <t>市合川区聚</t>
    </r>
    <r>
      <rPr>
        <sz val="11"/>
        <color theme="1"/>
        <rFont val="ＭＳ Ｐゴシック"/>
        <family val="3"/>
        <charset val="134"/>
        <scheme val="minor"/>
      </rPr>
      <t>绿农业</t>
    </r>
    <r>
      <rPr>
        <sz val="11"/>
        <color theme="1"/>
        <rFont val="ＭＳ Ｐゴシック"/>
        <family val="3"/>
        <charset val="128"/>
        <scheme val="minor"/>
      </rPr>
      <t>种植股份合作社</t>
    </r>
  </si>
  <si>
    <r>
      <t>白酒; 果酒（含酒精）; 开胃酒; 利口酒; 葡萄酒;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食用酒精; 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</si>
  <si>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兰</t>
    </r>
    <r>
      <rPr>
        <sz val="11"/>
        <color theme="1"/>
        <rFont val="ＭＳ Ｐゴシック"/>
        <family val="3"/>
        <charset val="128"/>
        <scheme val="minor"/>
      </rPr>
      <t>亭宴集</t>
    </r>
    <r>
      <rPr>
        <sz val="11"/>
        <color theme="1"/>
        <rFont val="ＭＳ Ｐゴシック"/>
        <family val="3"/>
        <charset val="134"/>
        <scheme val="minor"/>
      </rPr>
      <t>颂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</si>
  <si>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黄酒;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清酒（日本米酒）; 果酒（含酒精）</t>
    </r>
  </si>
  <si>
    <t>窖父袁品</t>
  </si>
  <si>
    <r>
      <t>泸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34"/>
        <scheme val="minor"/>
      </rPr>
      <t>赖</t>
    </r>
    <r>
      <rPr>
        <sz val="11"/>
        <color theme="1"/>
        <rFont val="ＭＳ Ｐゴシック"/>
        <family val="3"/>
        <charset val="128"/>
        <scheme val="minor"/>
      </rPr>
      <t>族酒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</si>
  <si>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果酒; 威末酒;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青稞酒;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</si>
  <si>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AMBIX</t>
  </si>
  <si>
    <r>
      <t xml:space="preserve">威士忌; 果酒（含酒精）; 杜松子酒; 葡萄酒; 伏特加酒;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朗姆酒; 利口酒</t>
    </r>
  </si>
  <si>
    <r>
      <t>九品</t>
    </r>
    <r>
      <rPr>
        <sz val="11"/>
        <color theme="1"/>
        <rFont val="ＭＳ Ｐゴシック"/>
        <family val="3"/>
        <charset val="134"/>
        <scheme val="minor"/>
      </rPr>
      <t>赐</t>
    </r>
  </si>
  <si>
    <t>申国秀</t>
  </si>
  <si>
    <r>
      <t>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烈酒; 葡萄酒;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开胃酒; 威士忌; 黄酒; 清酒（日本米酒）</t>
    </r>
  </si>
  <si>
    <r>
      <t>乾</t>
    </r>
    <r>
      <rPr>
        <sz val="11"/>
        <color theme="1"/>
        <rFont val="ＭＳ Ｐゴシック"/>
        <family val="3"/>
        <charset val="134"/>
        <scheme val="minor"/>
      </rPr>
      <t>觯</t>
    </r>
  </si>
  <si>
    <r>
      <t>广州坤</t>
    </r>
    <r>
      <rPr>
        <sz val="11"/>
        <color theme="1"/>
        <rFont val="ＭＳ Ｐゴシック"/>
        <family val="3"/>
        <charset val="134"/>
        <scheme val="minor"/>
      </rPr>
      <t>钰资</t>
    </r>
    <r>
      <rPr>
        <sz val="11"/>
        <color theme="1"/>
        <rFont val="ＭＳ Ｐゴシック"/>
        <family val="3"/>
        <charset val="128"/>
        <scheme val="minor"/>
      </rPr>
      <t>本控股有限公司</t>
    </r>
  </si>
  <si>
    <r>
      <t>白酒; 葡萄酒;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开胃酒; 苹果酒;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</si>
  <si>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杯中小宇宙</t>
  </si>
  <si>
    <r>
      <t>成都</t>
    </r>
    <r>
      <rPr>
        <sz val="11"/>
        <color theme="1"/>
        <rFont val="ＭＳ Ｐゴシック"/>
        <family val="3"/>
        <charset val="134"/>
        <scheme val="minor"/>
      </rPr>
      <t>补</t>
    </r>
    <r>
      <rPr>
        <sz val="11"/>
        <color theme="1"/>
        <rFont val="ＭＳ Ｐゴシック"/>
        <family val="3"/>
        <charset val="128"/>
        <scheme val="minor"/>
      </rPr>
      <t>玩科技有限公司</t>
    </r>
  </si>
  <si>
    <r>
      <t>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 xml:space="preserve">酒; 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米酒;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露酒; 青稞酒; 杜松子酒; 威末酒</t>
    </r>
  </si>
  <si>
    <t>BOMBLOONG</t>
  </si>
  <si>
    <r>
      <t>第七印象文化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媒（深圳）有限公司</t>
    </r>
  </si>
  <si>
    <r>
      <t>白干酒（中国白酒）; 开胃酒;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葡萄酒; 伏特加酒; 梅酒;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</si>
  <si>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老樵夫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坊</t>
    </r>
  </si>
  <si>
    <t>廖小云</t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</si>
  <si>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葡萄酒;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青稞酒; 食用酒精; 清酒（日本米酒）</t>
    </r>
  </si>
  <si>
    <t>金窖愿</t>
  </si>
  <si>
    <r>
      <t>黄</t>
    </r>
    <r>
      <rPr>
        <sz val="11"/>
        <color theme="1"/>
        <rFont val="ＭＳ Ｐゴシック"/>
        <family val="3"/>
        <charset val="134"/>
        <scheme val="minor"/>
      </rPr>
      <t>维钦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</si>
  <si>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威士忌; 葡萄酒; 黄酒; 烈酒; 清酒（日本米酒）</t>
    </r>
  </si>
  <si>
    <t>ELIXIR DE LA REINE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</si>
  <si>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威士忌; 伏特加酒;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杜松子酒;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利口酒; 朗姆酒</t>
    </r>
  </si>
  <si>
    <r>
      <t>屾</t>
    </r>
    <r>
      <rPr>
        <sz val="11"/>
        <color theme="1"/>
        <rFont val="ＭＳ Ｐゴシック"/>
        <family val="3"/>
        <charset val="128"/>
        <scheme val="minor"/>
      </rPr>
      <t>山云物</t>
    </r>
  </si>
  <si>
    <r>
      <t>云南遇</t>
    </r>
    <r>
      <rPr>
        <sz val="11"/>
        <color theme="1"/>
        <rFont val="ＭＳ Ｐゴシック"/>
        <family val="3"/>
        <charset val="134"/>
        <scheme val="minor"/>
      </rPr>
      <t>见</t>
    </r>
    <r>
      <rPr>
        <sz val="11"/>
        <color theme="1"/>
        <rFont val="ＭＳ Ｐゴシック"/>
        <family val="3"/>
        <charset val="128"/>
        <scheme val="minor"/>
      </rPr>
      <t>玫好生物科技有限公司</t>
    </r>
  </si>
  <si>
    <r>
      <t>白酒; 清酒; 甜酒; 果酒; 黄酒; 米酒; 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</t>
    </r>
  </si>
  <si>
    <t>醺邑</t>
  </si>
  <si>
    <r>
      <t>周</t>
    </r>
    <r>
      <rPr>
        <sz val="11"/>
        <color theme="1"/>
        <rFont val="ＭＳ Ｐゴシック"/>
        <family val="3"/>
        <charset val="134"/>
        <scheme val="minor"/>
      </rPr>
      <t>尔</t>
    </r>
    <r>
      <rPr>
        <sz val="11"/>
        <color theme="1"/>
        <rFont val="ＭＳ Ｐゴシック"/>
        <family val="3"/>
        <charset val="128"/>
        <scheme val="minor"/>
      </rPr>
      <t>烽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</si>
  <si>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蒸煮提取物（利口酒和烈酒）; 果酒（含酒精）;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</t>
    </r>
  </si>
  <si>
    <r>
      <t>陕</t>
    </r>
    <r>
      <rPr>
        <sz val="11"/>
        <color theme="1"/>
        <rFont val="ＭＳ Ｐゴシック"/>
        <family val="3"/>
        <charset val="128"/>
        <scheme val="minor"/>
      </rPr>
      <t>漠</t>
    </r>
  </si>
  <si>
    <r>
      <t>陕</t>
    </r>
    <r>
      <rPr>
        <sz val="11"/>
        <color theme="1"/>
        <rFont val="ＭＳ Ｐゴシック"/>
        <family val="3"/>
        <charset val="128"/>
        <scheme val="minor"/>
      </rPr>
      <t>西</t>
    </r>
    <r>
      <rPr>
        <sz val="11"/>
        <color theme="1"/>
        <rFont val="ＭＳ Ｐゴシック"/>
        <family val="3"/>
        <charset val="134"/>
        <scheme val="minor"/>
      </rPr>
      <t>农</t>
    </r>
    <r>
      <rPr>
        <sz val="11"/>
        <color theme="1"/>
        <rFont val="ＭＳ Ｐゴシック"/>
        <family val="3"/>
        <charset val="128"/>
        <scheme val="minor"/>
      </rPr>
      <t>牛</t>
    </r>
    <r>
      <rPr>
        <sz val="11"/>
        <color theme="1"/>
        <rFont val="ＭＳ Ｐゴシック"/>
        <family val="3"/>
        <charset val="134"/>
        <scheme val="minor"/>
      </rPr>
      <t>农</t>
    </r>
    <r>
      <rPr>
        <sz val="11"/>
        <color theme="1"/>
        <rFont val="ＭＳ Ｐゴシック"/>
        <family val="3"/>
        <charset val="128"/>
        <scheme val="minor"/>
      </rPr>
      <t>牧科技有限公司</t>
    </r>
  </si>
  <si>
    <r>
      <t>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高粱酒;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白干酒（中国白酒）; 米酒</t>
    </r>
  </si>
  <si>
    <r>
      <t>馥唻</t>
    </r>
    <r>
      <rPr>
        <sz val="11"/>
        <color theme="1"/>
        <rFont val="ＭＳ Ｐゴシック"/>
        <family val="3"/>
        <charset val="134"/>
        <scheme val="minor"/>
      </rPr>
      <t>稥</t>
    </r>
  </si>
  <si>
    <r>
      <t>安徽酷醉商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</si>
  <si>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米酒; 白酒;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清酒（日本米酒）</t>
    </r>
  </si>
  <si>
    <t>青璧</t>
  </si>
  <si>
    <r>
      <t>亚</t>
    </r>
    <r>
      <rPr>
        <sz val="11"/>
        <color theme="1"/>
        <rFont val="ＭＳ Ｐゴシック"/>
        <family val="3"/>
        <charset val="128"/>
        <scheme val="minor"/>
      </rPr>
      <t>力酒; 白酒; 利口酒;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朗姆酒; 伏特加酒; 果酒; 威士忌</t>
    </r>
  </si>
  <si>
    <r>
      <t>人</t>
    </r>
    <r>
      <rPr>
        <sz val="11"/>
        <color theme="1"/>
        <rFont val="ＭＳ Ｐゴシック"/>
        <family val="3"/>
        <charset val="134"/>
        <scheme val="minor"/>
      </rPr>
      <t>间</t>
    </r>
    <r>
      <rPr>
        <sz val="11"/>
        <color theme="1"/>
        <rFont val="ＭＳ Ｐゴシック"/>
        <family val="3"/>
        <charset val="128"/>
        <scheme val="minor"/>
      </rPr>
      <t>星河</t>
    </r>
  </si>
  <si>
    <r>
      <t>广州旗捷信息技</t>
    </r>
    <r>
      <rPr>
        <sz val="11"/>
        <color theme="1"/>
        <rFont val="ＭＳ Ｐゴシック"/>
        <family val="3"/>
        <charset val="134"/>
        <scheme val="minor"/>
      </rPr>
      <t>术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</si>
  <si>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米酒;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果酒（含酒精）;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伏特加酒</t>
    </r>
  </si>
  <si>
    <t>KYOUBY</t>
  </si>
  <si>
    <r>
      <t>金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市英</t>
    </r>
    <r>
      <rPr>
        <sz val="11"/>
        <color theme="1"/>
        <rFont val="ＭＳ Ｐゴシック"/>
        <family val="3"/>
        <charset val="134"/>
        <scheme val="minor"/>
      </rPr>
      <t>尔</t>
    </r>
    <r>
      <rPr>
        <sz val="11"/>
        <color theme="1"/>
        <rFont val="ＭＳ Ｐゴシック"/>
        <family val="3"/>
        <charset val="128"/>
        <scheme val="minor"/>
      </rPr>
      <t>健身器材科技有限公司</t>
    </r>
  </si>
  <si>
    <r>
      <t xml:space="preserve">葡萄酒; 白酒; 蜂蜜酒;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开胃酒;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</si>
  <si>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t>蜀江君</t>
  </si>
  <si>
    <r>
      <t>洪</t>
    </r>
    <r>
      <rPr>
        <sz val="11"/>
        <color theme="1"/>
        <rFont val="ＭＳ Ｐゴシック"/>
        <family val="3"/>
        <charset val="134"/>
        <scheme val="minor"/>
      </rPr>
      <t>晓军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</si>
  <si>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白酒; 果酒（含酒精）; 葡萄酒; 蒸煮提取物（利口酒和烈酒）;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威士忌</t>
    </r>
  </si>
  <si>
    <t>十八端</t>
  </si>
  <si>
    <r>
      <t>亳州市</t>
    </r>
    <r>
      <rPr>
        <sz val="11"/>
        <color theme="1"/>
        <rFont val="ＭＳ Ｐゴシック"/>
        <family val="3"/>
        <charset val="134"/>
        <scheme val="minor"/>
      </rPr>
      <t>谯</t>
    </r>
    <r>
      <rPr>
        <sz val="11"/>
        <color theme="1"/>
        <rFont val="ＭＳ Ｐゴシック"/>
        <family val="3"/>
        <charset val="128"/>
        <scheme val="minor"/>
      </rPr>
      <t>城区橘子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了餐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</si>
  <si>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 xml:space="preserve">葡萄酒; 米酒;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青稞酒; 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</t>
    </r>
  </si>
  <si>
    <t>TCTM</t>
  </si>
  <si>
    <r>
      <t>桐梓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天明眼</t>
    </r>
    <r>
      <rPr>
        <sz val="11"/>
        <color theme="1"/>
        <rFont val="ＭＳ Ｐゴシック"/>
        <family val="3"/>
        <charset val="134"/>
        <scheme val="minor"/>
      </rPr>
      <t>镜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</si>
  <si>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汽酒; 米酒; 含酒精的充气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食用酒精</t>
    </r>
  </si>
  <si>
    <r>
      <t>迎臻</t>
    </r>
    <r>
      <rPr>
        <sz val="11"/>
        <color theme="1"/>
        <rFont val="ＭＳ Ｐゴシック"/>
        <family val="3"/>
        <charset val="134"/>
        <scheme val="minor"/>
      </rPr>
      <t>凤</t>
    </r>
  </si>
  <si>
    <r>
      <t>姚小</t>
    </r>
    <r>
      <rPr>
        <sz val="11"/>
        <color theme="1"/>
        <rFont val="ＭＳ Ｐゴシック"/>
        <family val="3"/>
        <charset val="134"/>
        <scheme val="minor"/>
      </rPr>
      <t>庆</t>
    </r>
  </si>
  <si>
    <r>
      <t>黄酒; 白酒; 青稞酒; 果酒（含酒精）; 桃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高粱酒;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白干酒（中国白酒）;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</si>
  <si>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希</t>
    </r>
    <r>
      <rPr>
        <sz val="11"/>
        <color theme="1"/>
        <rFont val="ＭＳ Ｐゴシック"/>
        <family val="3"/>
        <charset val="134"/>
        <scheme val="minor"/>
      </rPr>
      <t>亚诗</t>
    </r>
  </si>
  <si>
    <r>
      <t>卡</t>
    </r>
    <r>
      <rPr>
        <sz val="11"/>
        <color theme="1"/>
        <rFont val="ＭＳ Ｐゴシック"/>
        <family val="3"/>
        <charset val="134"/>
        <scheme val="minor"/>
      </rPr>
      <t>图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（河南）有限公司</t>
    </r>
  </si>
  <si>
    <r>
      <t xml:space="preserve">伏特加酒;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葡萄酒; 烈酒;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朗姆酒; 威士忌</t>
    </r>
  </si>
  <si>
    <t>XTOUR</t>
  </si>
  <si>
    <r>
      <t>深圳市燃兔</t>
    </r>
    <r>
      <rPr>
        <sz val="11"/>
        <color theme="1"/>
        <rFont val="ＭＳ Ｐゴシック"/>
        <family val="3"/>
        <charset val="134"/>
        <scheme val="minor"/>
      </rPr>
      <t>创</t>
    </r>
    <r>
      <rPr>
        <sz val="11"/>
        <color theme="1"/>
        <rFont val="ＭＳ Ｐゴシック"/>
        <family val="3"/>
        <charset val="128"/>
        <scheme val="minor"/>
      </rPr>
      <t>新科技有限公司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</si>
  <si>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葡萄酒; 甜果酒; 食用酒精; 伏特加酒;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果酒（含酒精）</t>
    </r>
  </si>
  <si>
    <t>映琉璃</t>
  </si>
  <si>
    <r>
      <t>河南丞匠酒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</si>
  <si>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含酒精的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尾酒混合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品; 食用酒精; 黄酒;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威士忌;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麦芽威士忌; 白酒; 含酒精的气泡水; 清酒; 葡萄酒;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</si>
  <si>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从慈</t>
  </si>
  <si>
    <r>
      <t>厦</t>
    </r>
    <r>
      <rPr>
        <sz val="11"/>
        <color theme="1"/>
        <rFont val="ＭＳ Ｐゴシック"/>
        <family val="3"/>
        <charset val="134"/>
        <scheme val="minor"/>
      </rPr>
      <t>门</t>
    </r>
    <r>
      <rPr>
        <sz val="11"/>
        <color theme="1"/>
        <rFont val="ＭＳ Ｐゴシック"/>
        <family val="3"/>
        <charset val="128"/>
        <scheme val="minor"/>
      </rPr>
      <t>郁金众康医</t>
    </r>
    <r>
      <rPr>
        <sz val="11"/>
        <color theme="1"/>
        <rFont val="ＭＳ Ｐゴシック"/>
        <family val="3"/>
        <charset val="134"/>
        <scheme val="minor"/>
      </rPr>
      <t>疗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</si>
  <si>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果酒（含酒精）; 食用酒精; 白酒;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蜂蜜酒; 米酒</t>
    </r>
  </si>
  <si>
    <r>
      <t>恒楼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坊</t>
    </r>
  </si>
  <si>
    <r>
      <t>果酒（含酒精）;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葡萄酒;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高粱酒; 露酒;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</t>
    </r>
  </si>
  <si>
    <t>紫墨春秋墨中堂</t>
  </si>
  <si>
    <r>
      <t>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省人文文化研究院</t>
    </r>
  </si>
  <si>
    <r>
      <t>白酒; 葡萄酒;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开胃酒;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</t>
    </r>
  </si>
  <si>
    <t>州四海</t>
  </si>
  <si>
    <r>
      <t>冠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海元酒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</si>
  <si>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果酒; 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高粱酒;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清酒</t>
    </r>
  </si>
  <si>
    <r>
      <t>稻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盛世</t>
    </r>
  </si>
  <si>
    <t>广州鼎曼科技有限公司</t>
  </si>
  <si>
    <r>
      <t>黄酒;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蒸煮提取物（利口酒和烈酒）;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白酒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</si>
  <si>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开胃酒; 葡萄酒; 果酒; 白酒; 威末酒;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青稞酒</t>
    </r>
  </si>
  <si>
    <t>清朗逸</t>
  </si>
  <si>
    <t>黄彦嘉</t>
  </si>
  <si>
    <r>
      <t xml:space="preserve">果酒（含酒精）; 米酒; 日本梅子酒; 清酒;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黄酒; 桃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</t>
    </r>
  </si>
  <si>
    <r>
      <t>恒酩</t>
    </r>
    <r>
      <rPr>
        <sz val="11"/>
        <color theme="1"/>
        <rFont val="ＭＳ Ｐゴシック"/>
        <family val="3"/>
        <charset val="134"/>
        <scheme val="minor"/>
      </rPr>
      <t>荟</t>
    </r>
  </si>
  <si>
    <r>
      <t>苹果酒;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果酒（含酒精）; 餐后酒（利口酒和烈酒）; 露酒; 葡萄酒</t>
    </r>
  </si>
  <si>
    <t>澄坊</t>
  </si>
  <si>
    <r>
      <t>清酒（日本米酒）;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果酒（含酒精）; 黄酒; 开胃酒; 烈酒; 葡萄酒</t>
    </r>
  </si>
  <si>
    <r>
      <t>雁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溪</t>
    </r>
  </si>
  <si>
    <r>
      <t>钟</t>
    </r>
    <r>
      <rPr>
        <sz val="11"/>
        <color theme="1"/>
        <rFont val="ＭＳ Ｐゴシック"/>
        <family val="3"/>
        <charset val="128"/>
        <scheme val="minor"/>
      </rPr>
      <t>青根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</si>
  <si>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白干酒（中国白酒）; 黄酒; 米酒; 果酒; 高粱酒;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的白酒;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白酒</t>
    </r>
  </si>
  <si>
    <r>
      <t>梅好日</t>
    </r>
    <r>
      <rPr>
        <sz val="11"/>
        <color theme="1"/>
        <rFont val="ＭＳ Ｐゴシック"/>
        <family val="3"/>
        <charset val="134"/>
        <scheme val="minor"/>
      </rPr>
      <t>纪</t>
    </r>
  </si>
  <si>
    <t>雷玉春</t>
  </si>
  <si>
    <r>
      <t>开胃酒;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烈酒; 葡萄酒; 威士忌; 果酒（含酒精）; 清酒（日本米酒）;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</si>
  <si>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壶</t>
    </r>
    <r>
      <rPr>
        <sz val="11"/>
        <color theme="1"/>
        <rFont val="ＭＳ Ｐゴシック"/>
        <family val="3"/>
        <charset val="128"/>
        <scheme val="minor"/>
      </rPr>
      <t>小度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</si>
  <si>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烈酒; 白酒; 黄酒; 葡萄酒; 清酒（日本米酒）; 威士忌; 开胃酒</t>
    </r>
  </si>
  <si>
    <t>中筑省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</si>
  <si>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酒（烈酒）; 白酒; 高粱酒; 餐后酒（利口酒和烈酒）;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白干酒（中国白酒）; 米酒;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</si>
  <si>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ELIXIR DU ROY</t>
  </si>
  <si>
    <r>
      <t>杜松子酒; 利口酒; 威士忌; 伏特加酒;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朗姆酒;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</t>
    </r>
  </si>
  <si>
    <r>
      <t>元</t>
    </r>
    <r>
      <rPr>
        <sz val="11"/>
        <color theme="1"/>
        <rFont val="ＭＳ Ｐゴシック"/>
        <family val="3"/>
        <charset val="134"/>
        <scheme val="minor"/>
      </rPr>
      <t>觯</t>
    </r>
  </si>
  <si>
    <r>
      <t>白酒; 黄酒;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开胃酒; 葡萄酒;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苹果酒</t>
    </r>
  </si>
  <si>
    <t>燃季</t>
  </si>
  <si>
    <t>李志忠</t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</si>
  <si>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果酒（含酒精）; 威士忌; 蒸煮提取物（利口酒和烈酒）;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</t>
    </r>
  </si>
  <si>
    <t>JOYP</t>
  </si>
  <si>
    <r>
      <t>金秀</t>
    </r>
    <r>
      <rPr>
        <sz val="11"/>
        <color theme="1"/>
        <rFont val="ＭＳ Ｐゴシック"/>
        <family val="3"/>
        <charset val="134"/>
        <scheme val="minor"/>
      </rPr>
      <t>丽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</si>
  <si>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白酒; 清酒（日本米酒）; 果酒（含酒精）; 葡萄酒; 烈酒</t>
    </r>
  </si>
  <si>
    <r>
      <t>摩迩</t>
    </r>
    <r>
      <rPr>
        <sz val="11"/>
        <color theme="1"/>
        <rFont val="ＭＳ Ｐゴシック"/>
        <family val="3"/>
        <charset val="134"/>
        <scheme val="minor"/>
      </rPr>
      <t>乡</t>
    </r>
  </si>
  <si>
    <r>
      <t>山西清泉酒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</si>
  <si>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 xml:space="preserve">葡萄酒; 白酒;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>酒; 梨酒; 露酒;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</si>
  <si>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意泰圣</t>
  </si>
  <si>
    <r>
      <t>庄旭</t>
    </r>
    <r>
      <rPr>
        <sz val="11"/>
        <color theme="1"/>
        <rFont val="ＭＳ Ｐゴシック"/>
        <family val="3"/>
        <charset val="134"/>
        <scheme val="minor"/>
      </rPr>
      <t>锟</t>
    </r>
  </si>
  <si>
    <r>
      <t>威士忌; 米酒; 白酒; 黄酒; 利口酒;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苦味酒;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</si>
  <si>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斧力士</t>
  </si>
  <si>
    <r>
      <t>诸</t>
    </r>
    <r>
      <rPr>
        <sz val="11"/>
        <color theme="1"/>
        <rFont val="ＭＳ Ｐゴシック"/>
        <family val="3"/>
        <charset val="128"/>
        <scheme val="minor"/>
      </rPr>
      <t>宸智造（上海）工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</si>
  <si>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清酒（日本米酒）; 果酒（含酒精）; 开胃酒; 米酒</t>
    </r>
  </si>
  <si>
    <r>
      <t>兴</t>
    </r>
    <r>
      <rPr>
        <sz val="11"/>
        <color theme="1"/>
        <rFont val="ＭＳ Ｐゴシック"/>
        <family val="3"/>
        <charset val="128"/>
        <scheme val="minor"/>
      </rPr>
      <t>韵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</si>
  <si>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州丑小</t>
    </r>
    <r>
      <rPr>
        <sz val="11"/>
        <color theme="1"/>
        <rFont val="ＭＳ Ｐゴシック"/>
        <family val="3"/>
        <charset val="134"/>
        <scheme val="minor"/>
      </rPr>
      <t>鸭</t>
    </r>
    <r>
      <rPr>
        <sz val="11"/>
        <color theme="1"/>
        <rFont val="ＭＳ Ｐゴシック"/>
        <family val="3"/>
        <charset val="128"/>
        <scheme val="minor"/>
      </rPr>
      <t>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</si>
  <si>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茴芹酒（利口酒）; 白酒; 开胃酒; 伏特加酒; 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食用酒精</t>
    </r>
  </si>
  <si>
    <t>猫斧</t>
  </si>
  <si>
    <r>
      <t>诸</t>
    </r>
    <r>
      <rPr>
        <sz val="11"/>
        <color theme="1"/>
        <rFont val="ＭＳ Ｐゴシック"/>
        <family val="3"/>
        <charset val="128"/>
        <scheme val="minor"/>
      </rPr>
      <t>宸（上海）</t>
    </r>
    <r>
      <rPr>
        <sz val="11"/>
        <color theme="1"/>
        <rFont val="ＭＳ Ｐゴシック"/>
        <family val="3"/>
        <charset val="134"/>
        <scheme val="minor"/>
      </rPr>
      <t>创业</t>
    </r>
    <r>
      <rPr>
        <sz val="11"/>
        <color theme="1"/>
        <rFont val="ＭＳ Ｐゴシック"/>
        <family val="3"/>
        <charset val="128"/>
        <scheme val="minor"/>
      </rPr>
      <t>孵化器有限公司</t>
    </r>
  </si>
  <si>
    <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清酒（日本米酒）; 米酒;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</t>
    </r>
  </si>
  <si>
    <t>天窖侠</t>
  </si>
  <si>
    <t>何俊</t>
  </si>
  <si>
    <r>
      <t>烈酒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餐后酒（利口酒和烈酒）;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白干酒（中国白酒）; 烈酒</t>
    </r>
  </si>
  <si>
    <t>九象秦云</t>
  </si>
  <si>
    <r>
      <t>河南九象酒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</si>
  <si>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青稞酒;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 xml:space="preserve">汁;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汽酒;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</si>
  <si>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祝柏</t>
  </si>
  <si>
    <r>
      <t>朱</t>
    </r>
    <r>
      <rPr>
        <sz val="11"/>
        <color theme="1"/>
        <rFont val="ＭＳ Ｐゴシック"/>
        <family val="3"/>
        <charset val="134"/>
        <scheme val="minor"/>
      </rPr>
      <t>锦</t>
    </r>
    <r>
      <rPr>
        <sz val="11"/>
        <color theme="1"/>
        <rFont val="ＭＳ Ｐゴシック"/>
        <family val="3"/>
        <charset val="128"/>
        <scheme val="minor"/>
      </rPr>
      <t>泓</t>
    </r>
  </si>
  <si>
    <r>
      <t>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蒸煮提取物（利口酒和烈酒）; 果酒（含酒精）;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</t>
    </r>
  </si>
  <si>
    <t>插合岭</t>
  </si>
  <si>
    <r>
      <t>卢</t>
    </r>
    <r>
      <rPr>
        <sz val="11"/>
        <color theme="1"/>
        <rFont val="ＭＳ Ｐゴシック"/>
        <family val="3"/>
        <charset val="128"/>
        <scheme val="minor"/>
      </rPr>
      <t>更</t>
    </r>
    <r>
      <rPr>
        <sz val="11"/>
        <color theme="1"/>
        <rFont val="ＭＳ Ｐゴシック"/>
        <family val="3"/>
        <charset val="134"/>
        <scheme val="minor"/>
      </rPr>
      <t>辉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</si>
  <si>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清酒（日本米酒）;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开胃酒; 果酒（含酒精）; 米酒</t>
    </r>
  </si>
  <si>
    <t>德士忌 DESIKY</t>
  </si>
  <si>
    <r>
      <t>周</t>
    </r>
    <r>
      <rPr>
        <sz val="11"/>
        <color theme="1"/>
        <rFont val="ＭＳ Ｐゴシック"/>
        <family val="3"/>
        <charset val="134"/>
        <scheme val="minor"/>
      </rPr>
      <t>红伟</t>
    </r>
  </si>
  <si>
    <r>
      <t xml:space="preserve">葡萄酒; 清酒（日本米酒）; 果酒（含酒精）; 开胃酒;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烈酒; 黄酒</t>
    </r>
  </si>
  <si>
    <t>西海川香</t>
  </si>
  <si>
    <r>
      <t xml:space="preserve">米酒; 梨酒;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露酒;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>酒; 果酒（含酒精）</t>
    </r>
  </si>
  <si>
    <r>
      <t>元葆</t>
    </r>
    <r>
      <rPr>
        <sz val="11"/>
        <color theme="1"/>
        <rFont val="ＭＳ Ｐゴシック"/>
        <family val="3"/>
        <charset val="134"/>
        <scheme val="minor"/>
      </rPr>
      <t>济</t>
    </r>
  </si>
  <si>
    <r>
      <t>广西峪泉升酒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</si>
  <si>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果酒（含酒精）; 白酒;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酸酒（低等葡萄酒）; 黄酒; 汽酒</t>
    </r>
  </si>
  <si>
    <t>申息</t>
  </si>
  <si>
    <r>
      <t>陈</t>
    </r>
    <r>
      <rPr>
        <sz val="11"/>
        <color theme="1"/>
        <rFont val="ＭＳ Ｐゴシック"/>
        <family val="3"/>
        <charset val="128"/>
        <scheme val="minor"/>
      </rPr>
      <t>冲</t>
    </r>
  </si>
  <si>
    <r>
      <t xml:space="preserve">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果酒; 露酒;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黄酒</t>
    </r>
  </si>
  <si>
    <t>九象宋云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</si>
  <si>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 xml:space="preserve">汁; 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黄酒; 青稞酒;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</si>
  <si>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君九魂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</si>
  <si>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清酒（日本米酒）; 果酒（含酒精）; 葡萄酒; 烈酒; 黄酒; 威士忌;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</si>
  <si>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九象唐云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</si>
  <si>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青稞酒;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米酒; 汽酒;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食用酒精</t>
    </r>
  </si>
  <si>
    <r>
      <t>圆</t>
    </r>
    <r>
      <rPr>
        <sz val="11"/>
        <color theme="1"/>
        <rFont val="ＭＳ Ｐゴシック"/>
        <family val="3"/>
        <charset val="128"/>
        <scheme val="minor"/>
      </rPr>
      <t>典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</si>
  <si>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州正</t>
    </r>
    <r>
      <rPr>
        <sz val="11"/>
        <color theme="1"/>
        <rFont val="ＭＳ Ｐゴシック"/>
        <family val="3"/>
        <charset val="134"/>
        <scheme val="minor"/>
      </rPr>
      <t>观</t>
    </r>
    <r>
      <rPr>
        <sz val="11"/>
        <color theme="1"/>
        <rFont val="ＭＳ Ｐゴシック"/>
        <family val="3"/>
        <charset val="128"/>
        <scheme val="minor"/>
      </rPr>
      <t>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播有限公司</t>
    </r>
  </si>
  <si>
    <r>
      <t>蜂蜜酒;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青稞酒; 白酒; 果酒; 威士忌; 葡萄酒</t>
    </r>
  </si>
  <si>
    <r>
      <t>爱</t>
    </r>
    <r>
      <rPr>
        <sz val="11"/>
        <color theme="1"/>
        <rFont val="ＭＳ Ｐゴシック"/>
        <family val="3"/>
        <charset val="128"/>
        <scheme val="minor"/>
      </rPr>
      <t>与屠刀</t>
    </r>
  </si>
  <si>
    <r>
      <t>单</t>
    </r>
    <r>
      <rPr>
        <sz val="11"/>
        <color theme="1"/>
        <rFont val="ＭＳ Ｐゴシック"/>
        <family val="3"/>
        <charset val="128"/>
        <scheme val="minor"/>
      </rPr>
      <t>光</t>
    </r>
    <r>
      <rPr>
        <sz val="11"/>
        <color theme="1"/>
        <rFont val="ＭＳ Ｐゴシック"/>
        <family val="3"/>
        <charset val="134"/>
        <scheme val="minor"/>
      </rPr>
      <t>辉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</si>
  <si>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</t>
    </r>
  </si>
  <si>
    <r>
      <t>厦</t>
    </r>
    <r>
      <rPr>
        <sz val="11"/>
        <color theme="1"/>
        <rFont val="ＭＳ Ｐゴシック"/>
        <family val="3"/>
        <charset val="134"/>
        <scheme val="minor"/>
      </rPr>
      <t>门</t>
    </r>
    <r>
      <rPr>
        <sz val="11"/>
        <color theme="1"/>
        <rFont val="ＭＳ Ｐゴシック"/>
        <family val="3"/>
        <charset val="128"/>
        <scheme val="minor"/>
      </rPr>
      <t>茂林修竹文化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媒有限公司</t>
    </r>
  </si>
  <si>
    <r>
      <t>清酒（日本米酒）; 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威士忌;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</si>
  <si>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阿梨粤</t>
  </si>
  <si>
    <r>
      <t>哈</t>
    </r>
    <r>
      <rPr>
        <sz val="11"/>
        <color theme="1"/>
        <rFont val="ＭＳ Ｐゴシック"/>
        <family val="3"/>
        <charset val="134"/>
        <scheme val="minor"/>
      </rPr>
      <t>尔滨</t>
    </r>
    <r>
      <rPr>
        <sz val="11"/>
        <color theme="1"/>
        <rFont val="ＭＳ Ｐゴシック"/>
        <family val="3"/>
        <charset val="128"/>
        <scheme val="minor"/>
      </rPr>
      <t>市南</t>
    </r>
    <r>
      <rPr>
        <sz val="11"/>
        <color theme="1"/>
        <rFont val="ＭＳ Ｐゴシック"/>
        <family val="3"/>
        <charset val="134"/>
        <scheme val="minor"/>
      </rPr>
      <t>岗</t>
    </r>
    <r>
      <rPr>
        <sz val="11"/>
        <color theme="1"/>
        <rFont val="ＭＳ Ｐゴシック"/>
        <family val="3"/>
        <charset val="128"/>
        <scheme val="minor"/>
      </rPr>
      <t>区易佳</t>
    </r>
    <r>
      <rPr>
        <sz val="11"/>
        <color theme="1"/>
        <rFont val="ＭＳ Ｐゴシック"/>
        <family val="3"/>
        <charset val="134"/>
        <scheme val="minor"/>
      </rPr>
      <t>购</t>
    </r>
    <r>
      <rPr>
        <sz val="11"/>
        <color theme="1"/>
        <rFont val="ＭＳ Ｐゴシック"/>
        <family val="3"/>
        <charset val="128"/>
        <scheme val="minor"/>
      </rPr>
      <t>烟酒批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超市</t>
    </r>
  </si>
  <si>
    <r>
      <t>梨酒; 朝</t>
    </r>
    <r>
      <rPr>
        <sz val="11"/>
        <color theme="1"/>
        <rFont val="ＭＳ Ｐゴシック"/>
        <family val="3"/>
        <charset val="134"/>
        <scheme val="minor"/>
      </rPr>
      <t>鲜烧</t>
    </r>
    <r>
      <rPr>
        <sz val="11"/>
        <color theme="1"/>
        <rFont val="ＭＳ Ｐゴシック"/>
        <family val="3"/>
        <charset val="128"/>
        <scheme val="minor"/>
      </rPr>
      <t>酒; 米酒; 刺五加酒;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青稞酒; 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>酒; 白酒; 果酒; 白干酒（中国白酒）; 高粱酒</t>
    </r>
  </si>
  <si>
    <t>REDUCCAL</t>
  </si>
  <si>
    <r>
      <t>武</t>
    </r>
    <r>
      <rPr>
        <sz val="11"/>
        <color theme="1"/>
        <rFont val="ＭＳ Ｐゴシック"/>
        <family val="3"/>
        <charset val="134"/>
        <scheme val="minor"/>
      </rPr>
      <t>汉</t>
    </r>
    <r>
      <rPr>
        <sz val="11"/>
        <color theme="1"/>
        <rFont val="ＭＳ Ｐゴシック"/>
        <family val="3"/>
        <charset val="128"/>
        <scheme val="minor"/>
      </rPr>
      <t>欣</t>
    </r>
    <r>
      <rPr>
        <sz val="11"/>
        <color theme="1"/>
        <rFont val="ＭＳ Ｐゴシック"/>
        <family val="3"/>
        <charset val="134"/>
        <scheme val="minor"/>
      </rPr>
      <t>泽</t>
    </r>
    <r>
      <rPr>
        <sz val="11"/>
        <color theme="1"/>
        <rFont val="ＭＳ Ｐゴシック"/>
        <family val="3"/>
        <charset val="128"/>
        <scheme val="minor"/>
      </rPr>
      <t>盟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</si>
  <si>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威士忌; 黄酒; 白酒; 食用酒精;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伏特加酒;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葡萄酒; 米酒</t>
    </r>
  </si>
  <si>
    <r>
      <t>寻</t>
    </r>
    <r>
      <rPr>
        <sz val="11"/>
        <color theme="1"/>
        <rFont val="ＭＳ Ｐゴシック"/>
        <family val="3"/>
        <charset val="128"/>
        <scheme val="minor"/>
      </rPr>
      <t>界</t>
    </r>
  </si>
  <si>
    <r>
      <t>福建</t>
    </r>
    <r>
      <rPr>
        <sz val="11"/>
        <color theme="1"/>
        <rFont val="ＭＳ Ｐゴシック"/>
        <family val="3"/>
        <charset val="134"/>
        <scheme val="minor"/>
      </rPr>
      <t>凯</t>
    </r>
    <r>
      <rPr>
        <sz val="11"/>
        <color theme="1"/>
        <rFont val="ＭＳ Ｐゴシック"/>
        <family val="3"/>
        <charset val="128"/>
        <scheme val="minor"/>
      </rPr>
      <t>岩城酒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</si>
  <si>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威士忌; 米酒;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薄荷酒;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伏特加酒</t>
    </r>
  </si>
  <si>
    <r>
      <t>张晓</t>
    </r>
    <r>
      <rPr>
        <sz val="11"/>
        <color theme="1"/>
        <rFont val="ＭＳ Ｐゴシック"/>
        <family val="3"/>
        <charset val="128"/>
        <scheme val="minor"/>
      </rPr>
      <t>哲</t>
    </r>
  </si>
  <si>
    <r>
      <t xml:space="preserve">薄荷酒; 草莓酒; 果酒（含酒精）; 苹果酒;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高粱酒;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甜果酒; 开胃酒; 白酒</t>
    </r>
  </si>
  <si>
    <t>逢礼</t>
  </si>
  <si>
    <r>
      <t>泰安中玖</t>
    </r>
    <r>
      <rPr>
        <sz val="11"/>
        <color theme="1"/>
        <rFont val="ＭＳ Ｐゴシック"/>
        <family val="3"/>
        <charset val="134"/>
        <scheme val="minor"/>
      </rPr>
      <t>电</t>
    </r>
    <r>
      <rPr>
        <sz val="11"/>
        <color theme="1"/>
        <rFont val="ＭＳ Ｐゴシック"/>
        <family val="3"/>
        <charset val="128"/>
        <scheme val="minor"/>
      </rPr>
      <t>子商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</si>
  <si>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朗姆酒; 白酒;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主的开胃酒; 食用酒精; 黄酒;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混合威士忌酒; 威士忌; 果酒（含酒精）; 葡萄酒</t>
    </r>
  </si>
  <si>
    <t>QIANYIXING</t>
  </si>
  <si>
    <t>吴卓林</t>
  </si>
  <si>
    <r>
      <t xml:space="preserve">黄酒; 米酒; 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开胃酒; 白酒; 高粱酒;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</si>
  <si>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九云山云</t>
    </r>
    <r>
      <rPr>
        <sz val="11"/>
        <color theme="1"/>
        <rFont val="ＭＳ Ｐゴシック"/>
        <family val="3"/>
        <charset val="134"/>
        <scheme val="minor"/>
      </rPr>
      <t>间</t>
    </r>
  </si>
  <si>
    <r>
      <t>济</t>
    </r>
    <r>
      <rPr>
        <sz val="11"/>
        <color theme="1"/>
        <rFont val="ＭＳ Ｐゴシック"/>
        <family val="3"/>
        <charset val="128"/>
        <scheme val="minor"/>
      </rPr>
      <t>南九云山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酒有限公司</t>
    </r>
  </si>
  <si>
    <r>
      <t>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薄荷酒;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葡萄酒; 威士忌</t>
    </r>
  </si>
  <si>
    <r>
      <t>彭恒</t>
    </r>
    <r>
      <rPr>
        <sz val="11"/>
        <color theme="1"/>
        <rFont val="ＭＳ Ｐゴシック"/>
        <family val="3"/>
        <charset val="134"/>
        <scheme val="minor"/>
      </rPr>
      <t>华</t>
    </r>
  </si>
  <si>
    <r>
      <t xml:space="preserve">威士忌;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白酒</t>
    </r>
  </si>
  <si>
    <t>世胄</t>
  </si>
  <si>
    <r>
      <t>无</t>
    </r>
    <r>
      <rPr>
        <sz val="11"/>
        <color theme="1"/>
        <rFont val="ＭＳ Ｐゴシック"/>
        <family val="3"/>
        <charset val="134"/>
        <scheme val="minor"/>
      </rPr>
      <t>锡</t>
    </r>
    <r>
      <rPr>
        <sz val="11"/>
        <color theme="1"/>
        <rFont val="ＭＳ Ｐゴシック"/>
        <family val="3"/>
        <charset val="128"/>
        <scheme val="minor"/>
      </rPr>
      <t>司云商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</si>
  <si>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白酒; 烈酒;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黄酒; 葡萄酒; 果酒（含酒精）; 白干酒（中国白酒）</t>
    </r>
  </si>
  <si>
    <t>援友情</t>
  </si>
  <si>
    <r>
      <t>中</t>
    </r>
    <r>
      <rPr>
        <sz val="11"/>
        <color theme="1"/>
        <rFont val="ＭＳ Ｐゴシック"/>
        <family val="3"/>
        <charset val="134"/>
        <scheme val="minor"/>
      </rPr>
      <t>联</t>
    </r>
    <r>
      <rPr>
        <sz val="11"/>
        <color theme="1"/>
        <rFont val="ＭＳ Ｐゴシック"/>
        <family val="3"/>
        <charset val="128"/>
        <scheme val="minor"/>
      </rPr>
      <t>金誉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媒有限公司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</si>
  <si>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朗姆酒;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伏特加酒;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</si>
  <si>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米佐夫</t>
    </r>
    <r>
      <rPr>
        <sz val="11"/>
        <color theme="1"/>
        <rFont val="ＭＳ Ｐゴシック"/>
        <family val="3"/>
        <charset val="134"/>
        <scheme val="minor"/>
      </rPr>
      <t>迈</t>
    </r>
    <r>
      <rPr>
        <sz val="11"/>
        <color theme="1"/>
        <rFont val="ＭＳ Ｐゴシック"/>
        <family val="3"/>
        <charset val="128"/>
        <scheme val="minor"/>
      </rPr>
      <t>杰</t>
    </r>
  </si>
  <si>
    <t>李静雅</t>
  </si>
  <si>
    <r>
      <t>葡萄酒; 黄酒;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苹果酒; 威士忌;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利口酒; 伏特加酒; 米酒</t>
    </r>
  </si>
  <si>
    <t>仁美泉德</t>
  </si>
  <si>
    <r>
      <t>山西</t>
    </r>
    <r>
      <rPr>
        <sz val="11"/>
        <color theme="1"/>
        <rFont val="ＭＳ Ｐゴシック"/>
        <family val="3"/>
        <charset val="134"/>
        <scheme val="minor"/>
      </rPr>
      <t>际</t>
    </r>
    <r>
      <rPr>
        <sz val="11"/>
        <color theme="1"/>
        <rFont val="ＭＳ Ｐゴシック"/>
        <family val="3"/>
        <charset val="128"/>
        <scheme val="minor"/>
      </rPr>
      <t>丰建筑安装有限公司</t>
    </r>
  </si>
  <si>
    <r>
      <t>食用酒精; 利口酒;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</si>
  <si>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秀山有</t>
    </r>
    <r>
      <rPr>
        <sz val="11"/>
        <color theme="1"/>
        <rFont val="ＭＳ Ｐゴシック"/>
        <family val="3"/>
        <charset val="134"/>
        <scheme val="minor"/>
      </rPr>
      <t>约</t>
    </r>
  </si>
  <si>
    <r>
      <t>秀山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佳沃</t>
    </r>
    <r>
      <rPr>
        <sz val="11"/>
        <color theme="1"/>
        <rFont val="ＭＳ Ｐゴシック"/>
        <family val="3"/>
        <charset val="134"/>
        <scheme val="minor"/>
      </rPr>
      <t>农业发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</si>
  <si>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蒸煮提取物（利口酒和烈酒）;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白干酒（中国白酒）; 高粱酒;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果酒; 露酒; 米酒</t>
    </r>
  </si>
  <si>
    <t>LOONGBAO</t>
  </si>
  <si>
    <r>
      <t>浙江</t>
    </r>
    <r>
      <rPr>
        <sz val="11"/>
        <color theme="1"/>
        <rFont val="ＭＳ Ｐゴシック"/>
        <family val="3"/>
        <charset val="134"/>
        <scheme val="minor"/>
      </rPr>
      <t>长龙</t>
    </r>
    <r>
      <rPr>
        <sz val="11"/>
        <color theme="1"/>
        <rFont val="ＭＳ Ｐゴシック"/>
        <family val="3"/>
        <charset val="128"/>
        <scheme val="minor"/>
      </rPr>
      <t>航空有限公司</t>
    </r>
  </si>
  <si>
    <r>
      <t>葡萄酒; 白酒;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果酒（含酒精）;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</t>
    </r>
  </si>
  <si>
    <t>河礼友信</t>
  </si>
  <si>
    <r>
      <t>河源市河合</t>
    </r>
    <r>
      <rPr>
        <sz val="11"/>
        <color theme="1"/>
        <rFont val="ＭＳ Ｐゴシック"/>
        <family val="3"/>
        <charset val="134"/>
        <scheme val="minor"/>
      </rPr>
      <t>资产经营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</si>
  <si>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的白酒;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酒（烈酒）;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甜酒; 黄酒; 白酒; 果酒（含酒精）; 食用酒精</t>
    </r>
  </si>
  <si>
    <t>黎侯本泰</t>
  </si>
  <si>
    <t>王将</t>
  </si>
  <si>
    <r>
      <t xml:space="preserve">烈酒; 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白干酒（中国白酒）;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的白酒; 蝮蛇酒;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白酒; 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</si>
  <si>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颐</t>
    </r>
    <r>
      <rPr>
        <sz val="11"/>
        <color theme="1"/>
        <rFont val="ＭＳ Ｐゴシック"/>
        <family val="3"/>
        <charset val="128"/>
        <scheme val="minor"/>
      </rPr>
      <t>正源</t>
    </r>
  </si>
  <si>
    <r>
      <t>颐</t>
    </r>
    <r>
      <rPr>
        <sz val="11"/>
        <color theme="1"/>
        <rFont val="ＭＳ Ｐゴシック"/>
        <family val="3"/>
        <charset val="128"/>
        <scheme val="minor"/>
      </rPr>
      <t>正源（天津）生</t>
    </r>
    <r>
      <rPr>
        <sz val="11"/>
        <color theme="1"/>
        <rFont val="ＭＳ Ｐゴシック"/>
        <family val="3"/>
        <charset val="134"/>
        <scheme val="minor"/>
      </rPr>
      <t>态农业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</si>
  <si>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梨酒;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甜果酒; 葡萄酒;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苹果酒; 草莓酒; 果酒（含酒精）; 果酒</t>
    </r>
  </si>
  <si>
    <r>
      <t>眉</t>
    </r>
    <r>
      <rPr>
        <sz val="11"/>
        <color theme="1"/>
        <rFont val="ＭＳ Ｐゴシック"/>
        <family val="3"/>
        <charset val="134"/>
        <scheme val="minor"/>
      </rPr>
      <t>苏</t>
    </r>
    <r>
      <rPr>
        <sz val="11"/>
        <color theme="1"/>
        <rFont val="ＭＳ Ｐゴシック"/>
        <family val="3"/>
        <charset val="128"/>
        <scheme val="minor"/>
      </rPr>
      <t>悦</t>
    </r>
  </si>
  <si>
    <r>
      <t>宜</t>
    </r>
    <r>
      <rPr>
        <sz val="11"/>
        <color theme="1"/>
        <rFont val="ＭＳ Ｐゴシック"/>
        <family val="3"/>
        <charset val="134"/>
        <scheme val="minor"/>
      </rPr>
      <t>宾苏</t>
    </r>
    <r>
      <rPr>
        <sz val="11"/>
        <color theme="1"/>
        <rFont val="ＭＳ Ｐゴシック"/>
        <family val="3"/>
        <charset val="128"/>
        <scheme val="minor"/>
      </rPr>
      <t>眉酒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</si>
  <si>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烈酒;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白干酒（中国白酒）; 果酒（含酒精）;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高粱酒</t>
    </r>
  </si>
  <si>
    <r>
      <t>蒂</t>
    </r>
    <r>
      <rPr>
        <sz val="11"/>
        <color theme="1"/>
        <rFont val="ＭＳ Ｐゴシック"/>
        <family val="3"/>
        <charset val="134"/>
        <scheme val="minor"/>
      </rPr>
      <t>纳</t>
    </r>
    <r>
      <rPr>
        <sz val="11"/>
        <color theme="1"/>
        <rFont val="ＭＳ Ｐゴシック"/>
        <family val="3"/>
        <charset val="128"/>
        <scheme val="minor"/>
      </rPr>
      <t>森克斯</t>
    </r>
  </si>
  <si>
    <r>
      <t>葡萄酒; 利口酒; 伏特加酒; 苹果酒;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威士忌; 米酒;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</si>
  <si>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柔</t>
    </r>
    <r>
      <rPr>
        <sz val="11"/>
        <color theme="1"/>
        <rFont val="ＭＳ Ｐゴシック"/>
        <family val="3"/>
        <charset val="134"/>
        <scheme val="minor"/>
      </rPr>
      <t>爷</t>
    </r>
  </si>
  <si>
    <t>曾修付</t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</si>
  <si>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蜂蜜酒; 米酒</t>
    </r>
  </si>
  <si>
    <t>抒福</t>
  </si>
  <si>
    <r>
      <t>抒福品牌管理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展（成都）有限公司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</si>
  <si>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果酒（含酒精）; 开胃酒;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 xml:space="preserve">桃酒; 米酒; 薄荷酒;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梨酒</t>
    </r>
  </si>
  <si>
    <r>
      <t>毕</t>
    </r>
    <r>
      <rPr>
        <sz val="11"/>
        <color theme="1"/>
        <rFont val="ＭＳ Ｐゴシック"/>
        <family val="3"/>
        <charset val="128"/>
        <scheme val="minor"/>
      </rPr>
      <t>心</t>
    </r>
  </si>
  <si>
    <r>
      <t>正自在（河南）酒</t>
    </r>
    <r>
      <rPr>
        <sz val="11"/>
        <color theme="1"/>
        <rFont val="ＭＳ Ｐゴシック"/>
        <family val="3"/>
        <charset val="134"/>
        <scheme val="minor"/>
      </rPr>
      <t>业销</t>
    </r>
    <r>
      <rPr>
        <sz val="11"/>
        <color theme="1"/>
        <rFont val="ＭＳ Ｐゴシック"/>
        <family val="3"/>
        <charset val="128"/>
        <scheme val="minor"/>
      </rPr>
      <t>售有限公司</t>
    </r>
  </si>
  <si>
    <r>
      <t>青稞酒; 白酒;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白干酒（中国白酒）;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果酒（含酒精）;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高粱酒;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</si>
  <si>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t>老四季美</t>
  </si>
  <si>
    <r>
      <t>武</t>
    </r>
    <r>
      <rPr>
        <sz val="11"/>
        <color theme="1"/>
        <rFont val="ＭＳ Ｐゴシック"/>
        <family val="3"/>
        <charset val="134"/>
        <scheme val="minor"/>
      </rPr>
      <t>汉</t>
    </r>
    <r>
      <rPr>
        <sz val="11"/>
        <color theme="1"/>
        <rFont val="ＭＳ Ｐゴシック"/>
        <family val="3"/>
        <charset val="128"/>
        <scheme val="minor"/>
      </rPr>
      <t>市四季美</t>
    </r>
    <r>
      <rPr>
        <sz val="11"/>
        <color theme="1"/>
        <rFont val="ＭＳ Ｐゴシック"/>
        <family val="3"/>
        <charset val="134"/>
        <scheme val="minor"/>
      </rPr>
      <t>饮业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</si>
  <si>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 xml:space="preserve">开胃酒; 烈酒; 米酒;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清酒</t>
    </r>
  </si>
  <si>
    <r>
      <t>吴亦</t>
    </r>
    <r>
      <rPr>
        <sz val="11"/>
        <color theme="1"/>
        <rFont val="ＭＳ Ｐゴシック"/>
        <family val="3"/>
        <charset val="134"/>
        <scheme val="minor"/>
      </rPr>
      <t>乐</t>
    </r>
  </si>
  <si>
    <r>
      <t>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一分地</t>
    </r>
    <r>
      <rPr>
        <sz val="11"/>
        <color theme="1"/>
        <rFont val="ＭＳ Ｐゴシック"/>
        <family val="3"/>
        <charset val="134"/>
        <scheme val="minor"/>
      </rPr>
      <t>农业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</si>
  <si>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清酒;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黄酒;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米酒; 青稞酒</t>
    </r>
  </si>
  <si>
    <t>君千穗</t>
  </si>
  <si>
    <t>任芳明</t>
  </si>
  <si>
    <r>
      <t>黄酒; 威士忌; 开胃酒; 烈酒;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清酒（日本米酒）; 白酒</t>
    </r>
  </si>
  <si>
    <t>司云</t>
  </si>
  <si>
    <r>
      <t>白干酒（中国白酒）; 威士忌; 果酒（含酒精）; 黄酒; 米酒; 烈酒;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白酒</t>
    </r>
  </si>
  <si>
    <t>西旗盛源</t>
  </si>
  <si>
    <r>
      <t>新巴</t>
    </r>
    <r>
      <rPr>
        <sz val="11"/>
        <color theme="1"/>
        <rFont val="ＭＳ Ｐゴシック"/>
        <family val="3"/>
        <charset val="134"/>
        <scheme val="minor"/>
      </rPr>
      <t>尔</t>
    </r>
    <r>
      <rPr>
        <sz val="11"/>
        <color theme="1"/>
        <rFont val="ＭＳ Ｐゴシック"/>
        <family val="3"/>
        <charset val="128"/>
        <scheme val="minor"/>
      </rPr>
      <t>虎右旗盛源畜牧</t>
    </r>
    <r>
      <rPr>
        <sz val="11"/>
        <color theme="1"/>
        <rFont val="ＭＳ Ｐゴシック"/>
        <family val="3"/>
        <charset val="134"/>
        <scheme val="minor"/>
      </rPr>
      <t>业专业</t>
    </r>
    <r>
      <rPr>
        <sz val="11"/>
        <color theme="1"/>
        <rFont val="ＭＳ Ｐゴシック"/>
        <family val="3"/>
        <charset val="128"/>
        <scheme val="minor"/>
      </rPr>
      <t>合作社</t>
    </r>
  </si>
  <si>
    <r>
      <t>果酒（含酒精）; 汽酒; 柑香酒;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薄荷酒; 米酒;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</si>
  <si>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海天</t>
    </r>
    <r>
      <rPr>
        <sz val="11"/>
        <color theme="1"/>
        <rFont val="ＭＳ Ｐゴシック"/>
        <family val="3"/>
        <charset val="134"/>
        <scheme val="minor"/>
      </rPr>
      <t>栈桥</t>
    </r>
  </si>
  <si>
    <r>
      <t>山</t>
    </r>
    <r>
      <rPr>
        <sz val="11"/>
        <color theme="1"/>
        <rFont val="ＭＳ Ｐゴシック"/>
        <family val="3"/>
        <charset val="134"/>
        <scheme val="minor"/>
      </rPr>
      <t>东齐鲁</t>
    </r>
    <r>
      <rPr>
        <sz val="11"/>
        <color theme="1"/>
        <rFont val="ＭＳ Ｐゴシック"/>
        <family val="3"/>
        <charset val="128"/>
        <scheme val="minor"/>
      </rPr>
      <t>王酒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</si>
  <si>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蒸煮提取物（利口酒和烈酒）; 清酒; 开胃酒; 黄酒;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白酒;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</si>
  <si>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长</t>
    </r>
    <r>
      <rPr>
        <sz val="11"/>
        <color theme="1"/>
        <rFont val="ＭＳ Ｐゴシック"/>
        <family val="3"/>
        <charset val="128"/>
        <scheme val="minor"/>
      </rPr>
      <t>安永</t>
    </r>
    <r>
      <rPr>
        <sz val="11"/>
        <color theme="1"/>
        <rFont val="ＭＳ Ｐゴシック"/>
        <family val="3"/>
        <charset val="134"/>
        <scheme val="minor"/>
      </rPr>
      <t>乐</t>
    </r>
    <r>
      <rPr>
        <sz val="11"/>
        <color theme="1"/>
        <rFont val="ＭＳ Ｐゴシック"/>
        <family val="3"/>
        <charset val="128"/>
        <scheme val="minor"/>
      </rPr>
      <t>巷</t>
    </r>
  </si>
  <si>
    <r>
      <t>西安航投航天生活品牌</t>
    </r>
    <r>
      <rPr>
        <sz val="11"/>
        <color theme="1"/>
        <rFont val="ＭＳ Ｐゴシック"/>
        <family val="3"/>
        <charset val="134"/>
        <scheme val="minor"/>
      </rPr>
      <t>连锁</t>
    </r>
    <r>
      <rPr>
        <sz val="11"/>
        <color theme="1"/>
        <rFont val="ＭＳ Ｐゴシック"/>
        <family val="3"/>
        <charset val="128"/>
        <scheme val="minor"/>
      </rPr>
      <t>运</t>
    </r>
    <r>
      <rPr>
        <sz val="11"/>
        <color theme="1"/>
        <rFont val="ＭＳ Ｐゴシック"/>
        <family val="3"/>
        <charset val="134"/>
        <scheme val="minor"/>
      </rPr>
      <t>营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</si>
  <si>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蜂蜜酒; 伏特加酒; 果酒（含酒精）; 黄酒;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葡萄酒</t>
    </r>
  </si>
  <si>
    <t>毕鸿</t>
  </si>
  <si>
    <r>
      <t>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青稞酒;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高粱酒; 白酒; 白干酒（中国白酒）; 果酒（含酒精）; 米酒</t>
    </r>
  </si>
  <si>
    <r>
      <t>遵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渡</t>
    </r>
  </si>
  <si>
    <r>
      <t>胡舒</t>
    </r>
    <r>
      <rPr>
        <sz val="11"/>
        <color theme="1"/>
        <rFont val="ＭＳ Ｐゴシック"/>
        <family val="3"/>
        <charset val="134"/>
        <scheme val="minor"/>
      </rPr>
      <t>娴</t>
    </r>
  </si>
  <si>
    <r>
      <t>高粱酒; 威士忌;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露酒;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白酒</t>
    </r>
  </si>
  <si>
    <r>
      <t>毕</t>
    </r>
    <r>
      <rPr>
        <sz val="11"/>
        <color theme="1"/>
        <rFont val="ＭＳ Ｐゴシック"/>
        <family val="3"/>
        <charset val="128"/>
        <scheme val="minor"/>
      </rPr>
      <t>道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</si>
  <si>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酒（烈酒）;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高粱酒; 食用酒精; 白干酒（中国白酒）; 黄酒; 米酒; 青稞酒;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</si>
  <si>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t>成都仟金食品有限公司</t>
  </si>
  <si>
    <r>
      <t>白酒; 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清酒; 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</si>
  <si>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充</t>
    </r>
    <r>
      <rPr>
        <sz val="11"/>
        <color theme="1"/>
        <rFont val="ＭＳ Ｐゴシック"/>
        <family val="3"/>
        <charset val="134"/>
        <scheme val="minor"/>
      </rPr>
      <t>乡</t>
    </r>
    <r>
      <rPr>
        <sz val="11"/>
        <color theme="1"/>
        <rFont val="ＭＳ Ｐゴシック"/>
        <family val="3"/>
        <charset val="128"/>
        <scheme val="minor"/>
      </rPr>
      <t>醉牛</t>
    </r>
  </si>
  <si>
    <r>
      <t>重</t>
    </r>
    <r>
      <rPr>
        <sz val="11"/>
        <color theme="1"/>
        <rFont val="ＭＳ Ｐゴシック"/>
        <family val="3"/>
        <charset val="134"/>
        <scheme val="minor"/>
      </rPr>
      <t>庆</t>
    </r>
    <r>
      <rPr>
        <sz val="11"/>
        <color theme="1"/>
        <rFont val="ＭＳ Ｐゴシック"/>
        <family val="3"/>
        <charset val="128"/>
        <scheme val="minor"/>
      </rPr>
      <t>渝</t>
    </r>
    <r>
      <rPr>
        <sz val="11"/>
        <color theme="1"/>
        <rFont val="ＭＳ Ｐゴシック"/>
        <family val="3"/>
        <charset val="134"/>
        <scheme val="minor"/>
      </rPr>
      <t>晓</t>
    </r>
    <r>
      <rPr>
        <sz val="11"/>
        <color theme="1"/>
        <rFont val="ＭＳ Ｐゴシック"/>
        <family val="3"/>
        <charset val="128"/>
        <scheme val="minor"/>
      </rPr>
      <t>充科技有限公司</t>
    </r>
  </si>
  <si>
    <r>
      <t>白酒;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蜂蜜酒;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</t>
    </r>
  </si>
  <si>
    <r>
      <t>张</t>
    </r>
    <r>
      <rPr>
        <sz val="11"/>
        <color theme="1"/>
        <rFont val="ＭＳ Ｐゴシック"/>
        <family val="3"/>
        <charset val="128"/>
        <scheme val="minor"/>
      </rPr>
      <t>叫王</t>
    </r>
  </si>
  <si>
    <r>
      <t>势</t>
    </r>
    <r>
      <rPr>
        <sz val="11"/>
        <color theme="1"/>
        <rFont val="ＭＳ Ｐゴシック"/>
        <family val="3"/>
        <charset val="128"/>
        <scheme val="minor"/>
      </rPr>
      <t>能（惠州）科技有限公司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</si>
  <si>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米酒（泡盛酒）; 烈性干酒; 葡萄汽酒; 白酒; 干型苹果酒;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</t>
    </r>
  </si>
  <si>
    <t>吒心</t>
  </si>
  <si>
    <r>
      <t>杭州心迪家企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管理咨</t>
    </r>
    <r>
      <rPr>
        <sz val="11"/>
        <color theme="1"/>
        <rFont val="ＭＳ Ｐゴシック"/>
        <family val="3"/>
        <charset val="134"/>
        <scheme val="minor"/>
      </rPr>
      <t>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</si>
  <si>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黄酒; 白酒;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食用酒精;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</si>
  <si>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鲜</t>
    </r>
    <r>
      <rPr>
        <sz val="11"/>
        <color theme="1"/>
        <rFont val="ＭＳ Ｐゴシック"/>
        <family val="3"/>
        <charset val="128"/>
        <scheme val="minor"/>
      </rPr>
      <t>味姿</t>
    </r>
  </si>
  <si>
    <t>柴福斌</t>
  </si>
  <si>
    <r>
      <t xml:space="preserve">黄酒; 清酒; 开胃酒; 果酒;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利口酒; 白酒; 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</si>
  <si>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总</t>
    </r>
    <r>
      <rPr>
        <sz val="11"/>
        <color theme="1"/>
        <rFont val="ＭＳ Ｐゴシック"/>
        <family val="3"/>
        <charset val="128"/>
        <scheme val="minor"/>
      </rPr>
      <t>沙</t>
    </r>
  </si>
  <si>
    <t>李彦超</t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</si>
  <si>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白酒;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果酒（含酒精）; 蒸煮提取物（利口酒和烈酒）;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</si>
  <si>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巷子旧事</t>
  </si>
  <si>
    <t>杭州慕源食品有限公司</t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</si>
  <si>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威士忌; 果酒（含酒精）; 朗姆酒; 食用酒精; 白酒; 葡萄酒; 伏特加酒;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黄酒</t>
    </r>
  </si>
  <si>
    <t>志甄</t>
  </si>
  <si>
    <r>
      <t>四川一航念</t>
    </r>
    <r>
      <rPr>
        <sz val="11"/>
        <color theme="1"/>
        <rFont val="ＭＳ Ｐゴシック"/>
        <family val="3"/>
        <charset val="134"/>
        <scheme val="minor"/>
      </rPr>
      <t>乡</t>
    </r>
    <r>
      <rPr>
        <sz val="11"/>
        <color theme="1"/>
        <rFont val="ＭＳ Ｐゴシック"/>
        <family val="3"/>
        <charset val="128"/>
        <scheme val="minor"/>
      </rPr>
      <t>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媒有限公司</t>
    </r>
  </si>
  <si>
    <r>
      <t>白酒; 清酒（日本米酒）;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威士忌; 蜂蜜酒;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利口酒;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</si>
  <si>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r>
      <t>河礼友</t>
    </r>
    <r>
      <rPr>
        <sz val="11"/>
        <color theme="1"/>
        <rFont val="ＭＳ Ｐゴシック"/>
        <family val="3"/>
        <charset val="134"/>
        <scheme val="minor"/>
      </rPr>
      <t>缘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</si>
  <si>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酒（烈酒）; 食用酒精; 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白酒; 甜酒</t>
    </r>
  </si>
  <si>
    <t>王小腊</t>
  </si>
  <si>
    <r>
      <t xml:space="preserve">烈酒; 白酒;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汽酒; 清酒;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米酒（泡盛酒）</t>
    </r>
  </si>
  <si>
    <t>品窖福</t>
  </si>
  <si>
    <r>
      <t>卢</t>
    </r>
    <r>
      <rPr>
        <sz val="11"/>
        <color theme="1"/>
        <rFont val="ＭＳ Ｐゴシック"/>
        <family val="3"/>
        <charset val="128"/>
        <scheme val="minor"/>
      </rPr>
      <t>怡</t>
    </r>
  </si>
  <si>
    <r>
      <t>麦芽威士忌;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含酒精的充气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 xml:space="preserve">梅酒; 白酒; 烈酒;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白干酒（中国白酒）; 蒸煮提取物（利口酒和烈酒）</t>
    </r>
  </si>
  <si>
    <t>承亦</t>
  </si>
  <si>
    <r>
      <t xml:space="preserve">威士忌; 果酒（含酒精）; 混合威士忌酒;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食用酒精;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主的开胃酒; 葡萄酒; 朗姆酒; 黄酒; 白酒</t>
    </r>
  </si>
  <si>
    <r>
      <t>松</t>
    </r>
    <r>
      <rPr>
        <sz val="11"/>
        <color theme="1"/>
        <rFont val="ＭＳ Ｐゴシック"/>
        <family val="3"/>
        <charset val="134"/>
        <scheme val="minor"/>
      </rPr>
      <t>阵</t>
    </r>
  </si>
  <si>
    <r>
      <t>恒星会（北京）国</t>
    </r>
    <r>
      <rPr>
        <sz val="11"/>
        <color theme="1"/>
        <rFont val="ＭＳ Ｐゴシック"/>
        <family val="3"/>
        <charset val="134"/>
        <scheme val="minor"/>
      </rPr>
      <t>际</t>
    </r>
    <r>
      <rPr>
        <sz val="11"/>
        <color theme="1"/>
        <rFont val="ＭＳ Ｐゴシック"/>
        <family val="3"/>
        <charset val="128"/>
        <scheme val="minor"/>
      </rPr>
      <t>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播有限公司</t>
    </r>
  </si>
  <si>
    <r>
      <t>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葡萄酒; 黄酒; 白酒; 清酒;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</t>
    </r>
  </si>
  <si>
    <t>品貌如花</t>
  </si>
  <si>
    <r>
      <t>义乌</t>
    </r>
    <r>
      <rPr>
        <sz val="11"/>
        <color theme="1"/>
        <rFont val="ＭＳ Ｐゴシック"/>
        <family val="3"/>
        <charset val="128"/>
        <scheme val="minor"/>
      </rPr>
      <t>市月瑟商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</si>
  <si>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樱</t>
    </r>
    <r>
      <rPr>
        <sz val="11"/>
        <color theme="1"/>
        <rFont val="ＭＳ Ｐゴシック"/>
        <family val="3"/>
        <charset val="128"/>
        <scheme val="minor"/>
      </rPr>
      <t xml:space="preserve">桃酒; 威士忌; 白酒; 蜂蜜酒;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葡萄酒;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梨酒</t>
    </r>
  </si>
  <si>
    <r>
      <t>诗</t>
    </r>
    <r>
      <rPr>
        <sz val="11"/>
        <color theme="1"/>
        <rFont val="ＭＳ Ｐゴシック"/>
        <family val="3"/>
        <charset val="128"/>
        <scheme val="minor"/>
      </rPr>
      <t>雅</t>
    </r>
    <r>
      <rPr>
        <sz val="11"/>
        <color theme="1"/>
        <rFont val="ＭＳ Ｐゴシック"/>
        <family val="3"/>
        <charset val="134"/>
        <scheme val="minor"/>
      </rPr>
      <t>兰</t>
    </r>
  </si>
  <si>
    <r>
      <t>杨</t>
    </r>
    <r>
      <rPr>
        <sz val="11"/>
        <color theme="1"/>
        <rFont val="ＭＳ Ｐゴシック"/>
        <family val="3"/>
        <charset val="128"/>
        <scheme val="minor"/>
      </rPr>
      <t>敏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</si>
  <si>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葡萄酒; 食用酒精; 果酒（含酒精）; 苦味酒;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</si>
  <si>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能</t>
    </r>
    <r>
      <rPr>
        <sz val="11"/>
        <color theme="1"/>
        <rFont val="ＭＳ Ｐゴシック"/>
        <family val="3"/>
        <charset val="134"/>
        <scheme val="minor"/>
      </rPr>
      <t>爷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</si>
  <si>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葡萄酒; 黄酒;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蜂蜜酒</t>
    </r>
  </si>
  <si>
    <r>
      <t>鲸</t>
    </r>
    <r>
      <rPr>
        <sz val="11"/>
        <color theme="1"/>
        <rFont val="ＭＳ Ｐゴシック"/>
        <family val="3"/>
        <charset val="128"/>
        <scheme val="minor"/>
      </rPr>
      <t>禧</t>
    </r>
    <r>
      <rPr>
        <sz val="11"/>
        <color theme="1"/>
        <rFont val="ＭＳ Ｐゴシック"/>
        <family val="3"/>
        <charset val="134"/>
        <scheme val="minor"/>
      </rPr>
      <t>腾</t>
    </r>
  </si>
  <si>
    <t>滕晶</t>
  </si>
  <si>
    <r>
      <t>葡萄酒; 利口酒;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朗姆酒; 威士忌; 伏特加酒;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</si>
  <si>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龙</t>
    </r>
    <r>
      <rPr>
        <sz val="11"/>
        <color theme="1"/>
        <rFont val="ＭＳ Ｐゴシック"/>
        <family val="3"/>
        <charset val="128"/>
        <scheme val="minor"/>
      </rPr>
      <t>洄庄园品酒笔</t>
    </r>
    <r>
      <rPr>
        <sz val="11"/>
        <color theme="1"/>
        <rFont val="ＭＳ Ｐゴシック"/>
        <family val="3"/>
        <charset val="134"/>
        <scheme val="minor"/>
      </rPr>
      <t>记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</si>
  <si>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蒸煮提取物（利口酒和烈酒）;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食用酒精; 葡萄酒; 利口酒; 果酒; 苦味酒; 白酒</t>
    </r>
  </si>
  <si>
    <t>雅造</t>
  </si>
  <si>
    <t>管柳松</t>
  </si>
  <si>
    <r>
      <t>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青稞酒;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果酒（含酒精）;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威士忌</t>
    </r>
  </si>
  <si>
    <t>秀山早</t>
  </si>
  <si>
    <r>
      <t>白酒; 果酒; 蒸煮提取物（利口酒和烈酒）;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露酒; 白干酒（中国白酒）; 高粱酒</t>
    </r>
  </si>
  <si>
    <t>LAVAZZA</t>
  </si>
  <si>
    <r>
      <t>柳</t>
    </r>
    <r>
      <rPr>
        <sz val="11"/>
        <color theme="1"/>
        <rFont val="ＭＳ Ｐゴシック"/>
        <family val="3"/>
        <charset val="134"/>
        <scheme val="minor"/>
      </rPr>
      <t>记</t>
    </r>
    <r>
      <rPr>
        <sz val="11"/>
        <color theme="1"/>
        <rFont val="ＭＳ Ｐゴシック"/>
        <family val="3"/>
        <charset val="128"/>
        <scheme val="minor"/>
      </rPr>
      <t>拉瓦扎股份公司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</si>
  <si>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咖啡利口酒;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</t>
    </r>
  </si>
  <si>
    <t>梅妤</t>
  </si>
  <si>
    <t>段敏</t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</si>
  <si>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利口酒;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</t>
    </r>
  </si>
  <si>
    <r>
      <t>时</t>
    </r>
    <r>
      <rPr>
        <sz val="11"/>
        <color theme="1"/>
        <rFont val="ＭＳ Ｐゴシック"/>
        <family val="3"/>
        <charset val="128"/>
        <scheme val="minor"/>
      </rPr>
      <t>盈</t>
    </r>
  </si>
  <si>
    <t>上海冠生园食品有限公司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</si>
  <si>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薄荷酒; 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伏特加酒; 蜂蜜酒; 汽酒; 黄酒;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开胃酒</t>
    </r>
  </si>
  <si>
    <r>
      <t>龙</t>
    </r>
    <r>
      <rPr>
        <sz val="11"/>
        <color theme="1"/>
        <rFont val="ＭＳ Ｐゴシック"/>
        <family val="3"/>
        <charset val="128"/>
        <scheme val="minor"/>
      </rPr>
      <t>洄</t>
    </r>
  </si>
  <si>
    <r>
      <t>果酒; 食用酒精;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利口酒; 苦味酒; 蒸煮提取物（利口酒和烈酒）</t>
    </r>
  </si>
  <si>
    <r>
      <t>龙</t>
    </r>
    <r>
      <rPr>
        <sz val="11"/>
        <color theme="1"/>
        <rFont val="ＭＳ Ｐゴシック"/>
        <family val="3"/>
        <charset val="128"/>
        <scheme val="minor"/>
      </rPr>
      <t>茗</t>
    </r>
  </si>
  <si>
    <r>
      <t>上海酉米酒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</si>
  <si>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威士忌; 朗姆酒;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食用酒精; 葡萄酒; 伏特加酒; 果酒（含酒精）; 黄酒</t>
    </r>
  </si>
  <si>
    <r>
      <t>水</t>
    </r>
    <r>
      <rPr>
        <sz val="11"/>
        <color theme="1"/>
        <rFont val="ＭＳ Ｐゴシック"/>
        <family val="3"/>
        <charset val="134"/>
        <scheme val="minor"/>
      </rPr>
      <t>乡</t>
    </r>
    <r>
      <rPr>
        <sz val="11"/>
        <color theme="1"/>
        <rFont val="ＭＳ Ｐゴシック"/>
        <family val="3"/>
        <charset val="128"/>
        <scheme val="minor"/>
      </rPr>
      <t>刘三姐</t>
    </r>
  </si>
  <si>
    <t>广西和城食品有限公司</t>
  </si>
  <si>
    <r>
      <t xml:space="preserve">果酒（含酒精）; 葡萄酒; 开胃酒; 威士忌; 食用酒精;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白酒;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</si>
  <si>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r>
      <t>长龙龙</t>
    </r>
    <r>
      <rPr>
        <sz val="11"/>
        <color theme="1"/>
        <rFont val="ＭＳ Ｐゴシック"/>
        <family val="3"/>
        <charset val="128"/>
        <scheme val="minor"/>
      </rPr>
      <t>宝</t>
    </r>
  </si>
  <si>
    <r>
      <t>葡萄酒;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果酒（含酒精）;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</si>
  <si>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江海臻</t>
    </r>
    <r>
      <rPr>
        <sz val="11"/>
        <color theme="1"/>
        <rFont val="ＭＳ Ｐゴシック"/>
        <family val="3"/>
        <charset val="129"/>
        <scheme val="minor"/>
      </rPr>
      <t>优</t>
    </r>
  </si>
  <si>
    <t>卢东</t>
  </si>
  <si>
    <r>
      <t xml:space="preserve">果酒（含酒精）; 茴芹酒（利口酒）; 开胃酒; 薄荷酒; 白酒; </t>
    </r>
    <r>
      <rPr>
        <sz val="11"/>
        <color theme="1"/>
        <rFont val="ＭＳ Ｐゴシック"/>
        <family val="3"/>
        <charset val="134"/>
        <scheme val="minor"/>
      </rPr>
      <t>亚</t>
    </r>
    <r>
      <rPr>
        <sz val="11"/>
        <color theme="1"/>
        <rFont val="ＭＳ Ｐゴシック"/>
        <family val="3"/>
        <charset val="128"/>
        <scheme val="minor"/>
      </rPr>
      <t>力酒; 苦味酒;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苹果酒; 茴香酒（利口酒）</t>
    </r>
  </si>
  <si>
    <r>
      <t>湖南一之源文化</t>
    </r>
    <r>
      <rPr>
        <sz val="11"/>
        <color theme="1"/>
        <rFont val="ＭＳ Ｐゴシック"/>
        <family val="3"/>
        <charset val="134"/>
        <scheme val="minor"/>
      </rPr>
      <t>创</t>
    </r>
    <r>
      <rPr>
        <sz val="11"/>
        <color theme="1"/>
        <rFont val="ＭＳ Ｐゴシック"/>
        <family val="3"/>
        <charset val="128"/>
        <scheme val="minor"/>
      </rPr>
      <t>意有限公司</t>
    </r>
  </si>
  <si>
    <r>
      <t xml:space="preserve">米酒;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朗姆酒; 白酒;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清酒（日本米酒）; 威士忌</t>
    </r>
  </si>
  <si>
    <r>
      <t>视</t>
    </r>
    <r>
      <rPr>
        <sz val="11"/>
        <color theme="1"/>
        <rFont val="ＭＳ Ｐゴシック"/>
        <family val="3"/>
        <charset val="128"/>
        <scheme val="minor"/>
      </rPr>
      <t>航</t>
    </r>
    <r>
      <rPr>
        <sz val="11"/>
        <color theme="1"/>
        <rFont val="ＭＳ Ｐゴシック"/>
        <family val="3"/>
        <charset val="134"/>
        <scheme val="minor"/>
      </rPr>
      <t>澜</t>
    </r>
    <r>
      <rPr>
        <sz val="11"/>
        <color theme="1"/>
        <rFont val="ＭＳ Ｐゴシック"/>
        <family val="3"/>
        <charset val="128"/>
        <scheme val="minor"/>
      </rPr>
      <t>廷</t>
    </r>
  </si>
  <si>
    <r>
      <t>河北</t>
    </r>
    <r>
      <rPr>
        <sz val="11"/>
        <color theme="1"/>
        <rFont val="ＭＳ Ｐゴシック"/>
        <family val="3"/>
        <charset val="134"/>
        <scheme val="minor"/>
      </rPr>
      <t>视</t>
    </r>
    <r>
      <rPr>
        <sz val="11"/>
        <color theme="1"/>
        <rFont val="ＭＳ Ｐゴシック"/>
        <family val="3"/>
        <charset val="128"/>
        <scheme val="minor"/>
      </rPr>
      <t>航未来文化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媒集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</si>
  <si>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食用酒精; 葡萄酒; 米酒; 黄酒; 白酒; 清酒; 高粱酒; 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</si>
  <si>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海鹿</t>
    </r>
    <r>
      <rPr>
        <sz val="11"/>
        <color theme="1"/>
        <rFont val="ＭＳ Ｐゴシック"/>
        <family val="3"/>
        <charset val="134"/>
        <scheme val="minor"/>
      </rPr>
      <t>鸿</t>
    </r>
    <r>
      <rPr>
        <sz val="11"/>
        <color theme="1"/>
        <rFont val="ＭＳ Ｐゴシック"/>
        <family val="3"/>
        <charset val="128"/>
        <scheme val="minor"/>
      </rPr>
      <t>丰</t>
    </r>
  </si>
  <si>
    <r>
      <t>鹿海</t>
    </r>
    <r>
      <rPr>
        <sz val="11"/>
        <color theme="1"/>
        <rFont val="ＭＳ Ｐゴシック"/>
        <family val="3"/>
        <charset val="134"/>
        <scheme val="minor"/>
      </rPr>
      <t>军</t>
    </r>
  </si>
  <si>
    <r>
      <t xml:space="preserve">烈酒; 利口酒; 白酒;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葡萄酒;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高粱酒; 黄酒; 蜂蜜酒</t>
    </r>
  </si>
  <si>
    <r>
      <t>梁好</t>
    </r>
    <r>
      <rPr>
        <sz val="11"/>
        <color theme="1"/>
        <rFont val="ＭＳ Ｐゴシック"/>
        <family val="3"/>
        <charset val="129"/>
        <scheme val="minor"/>
      </rPr>
      <t>胜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</si>
  <si>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葡萄酒; 白酒; 蜂蜜酒;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米酒</t>
    </r>
  </si>
  <si>
    <r>
      <t>九象</t>
    </r>
    <r>
      <rPr>
        <sz val="11"/>
        <color theme="1"/>
        <rFont val="ＭＳ Ｐゴシック"/>
        <family val="3"/>
        <charset val="134"/>
        <scheme val="minor"/>
      </rPr>
      <t>汉</t>
    </r>
    <r>
      <rPr>
        <sz val="11"/>
        <color theme="1"/>
        <rFont val="ＭＳ Ｐゴシック"/>
        <family val="3"/>
        <charset val="128"/>
        <scheme val="minor"/>
      </rPr>
      <t>云</t>
    </r>
  </si>
  <si>
    <r>
      <t xml:space="preserve">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青稞酒;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汽酒; 黄酒;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白酒</t>
    </r>
  </si>
  <si>
    <r>
      <t>清</t>
    </r>
    <r>
      <rPr>
        <sz val="11"/>
        <color theme="1"/>
        <rFont val="ＭＳ Ｐゴシック"/>
        <family val="3"/>
        <charset val="134"/>
        <scheme val="minor"/>
      </rPr>
      <t>觯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</si>
  <si>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果酒（含酒精）; 白酒;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苹果酒;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开胃酒; 米酒; 葡萄酒</t>
    </r>
  </si>
  <si>
    <r>
      <t>吾</t>
    </r>
    <r>
      <rPr>
        <sz val="11"/>
        <color theme="1"/>
        <rFont val="ＭＳ Ｐゴシック"/>
        <family val="3"/>
        <charset val="134"/>
        <scheme val="minor"/>
      </rPr>
      <t>词</t>
    </r>
  </si>
  <si>
    <t>魏丹萍</t>
  </si>
  <si>
    <r>
      <t>烈酒; 果酒（含酒精）; 葡萄酒;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清酒（日本米酒）</t>
    </r>
  </si>
  <si>
    <r>
      <t>莯</t>
    </r>
    <r>
      <rPr>
        <sz val="11"/>
        <color theme="1"/>
        <rFont val="ＭＳ Ｐゴシック"/>
        <family val="3"/>
        <charset val="128"/>
        <scheme val="minor"/>
      </rPr>
      <t>茗酒居</t>
    </r>
  </si>
  <si>
    <r>
      <t>北京溪皖商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</si>
  <si>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餐后酒（利口酒和烈酒）; 威士忌; 白酒; 葡萄酒; 黄酒</t>
    </r>
  </si>
  <si>
    <t>姊妹十一</t>
  </si>
  <si>
    <r>
      <t>吉</t>
    </r>
    <r>
      <rPr>
        <sz val="11"/>
        <color theme="1"/>
        <rFont val="ＭＳ Ｐゴシック"/>
        <family val="3"/>
        <charset val="134"/>
        <scheme val="minor"/>
      </rPr>
      <t>亚</t>
    </r>
    <r>
      <rPr>
        <sz val="11"/>
        <color theme="1"/>
        <rFont val="ＭＳ Ｐゴシック"/>
        <family val="3"/>
        <charset val="128"/>
        <scheme val="minor"/>
      </rPr>
      <t>隆控股（山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）集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</si>
  <si>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梨酒; 烈酒; 甜酒; 米酒; 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白酒; 果酒</t>
    </r>
  </si>
  <si>
    <r>
      <t>叙</t>
    </r>
    <r>
      <rPr>
        <sz val="11"/>
        <color theme="1"/>
        <rFont val="ＭＳ Ｐゴシック"/>
        <family val="3"/>
        <charset val="134"/>
        <scheme val="minor"/>
      </rPr>
      <t>爷</t>
    </r>
  </si>
  <si>
    <r>
      <t>米酒; 蜂蜜酒; 黄酒;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</t>
    </r>
  </si>
  <si>
    <t>圣酩君</t>
  </si>
  <si>
    <r>
      <t>罗</t>
    </r>
    <r>
      <rPr>
        <sz val="11"/>
        <color theme="1"/>
        <rFont val="ＭＳ Ｐゴシック"/>
        <family val="3"/>
        <charset val="128"/>
        <scheme val="minor"/>
      </rPr>
      <t>晨</t>
    </r>
  </si>
  <si>
    <r>
      <t>蒸煮提取物（利口酒和烈酒）; 白酒;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黄酒;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</si>
  <si>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扶曜</t>
  </si>
  <si>
    <r>
      <t>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白干酒（中国白酒）; 黄酒; 果酒（含酒精）; 威士忌; 烈酒; 米酒; 葡萄酒</t>
    </r>
  </si>
  <si>
    <r>
      <t>觅</t>
    </r>
    <r>
      <rPr>
        <sz val="11"/>
        <color theme="1"/>
        <rFont val="ＭＳ Ｐゴシック"/>
        <family val="3"/>
        <charset val="128"/>
        <scheme val="minor"/>
      </rPr>
      <t>芮徳</t>
    </r>
  </si>
  <si>
    <r>
      <t>浙江果</t>
    </r>
    <r>
      <rPr>
        <sz val="11"/>
        <color theme="1"/>
        <rFont val="ＭＳ Ｐゴシック"/>
        <family val="3"/>
        <charset val="134"/>
        <scheme val="minor"/>
      </rPr>
      <t>链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</si>
  <si>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米酒; 果酒（含酒精）;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威士忌; 黄酒;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清酒（日本米酒）</t>
    </r>
  </si>
  <si>
    <r>
      <t>虚</t>
    </r>
    <r>
      <rPr>
        <sz val="11"/>
        <color theme="1"/>
        <rFont val="ＭＳ Ｐゴシック"/>
        <family val="3"/>
        <charset val="134"/>
        <scheme val="minor"/>
      </rPr>
      <t>线</t>
    </r>
  </si>
  <si>
    <r>
      <t>安徽国密酒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</si>
  <si>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米酒; 葡萄酒</t>
    </r>
  </si>
  <si>
    <r>
      <t>雾凇</t>
    </r>
    <r>
      <rPr>
        <sz val="11"/>
        <color theme="1"/>
        <rFont val="ＭＳ Ｐゴシック"/>
        <family val="3"/>
        <charset val="128"/>
        <scheme val="minor"/>
      </rPr>
      <t>岭</t>
    </r>
  </si>
  <si>
    <t>杨丽</t>
  </si>
  <si>
    <r>
      <t>蜂蜜酒; 白干酒（中国白酒）; 黄酒; 高粱酒;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食用酒精;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</si>
  <si>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禄香鹿</t>
    </r>
    <r>
      <rPr>
        <sz val="11"/>
        <color theme="1"/>
        <rFont val="ＭＳ Ｐゴシック"/>
        <family val="3"/>
        <charset val="134"/>
        <scheme val="minor"/>
      </rPr>
      <t>缘</t>
    </r>
  </si>
  <si>
    <r>
      <t>宜黄</t>
    </r>
    <r>
      <rPr>
        <sz val="11"/>
        <color theme="1"/>
        <rFont val="ＭＳ Ｐゴシック"/>
        <family val="3"/>
        <charset val="134"/>
        <scheme val="minor"/>
      </rPr>
      <t>县绿</t>
    </r>
    <r>
      <rPr>
        <sz val="11"/>
        <color theme="1"/>
        <rFont val="ＭＳ Ｐゴシック"/>
        <family val="3"/>
        <charset val="128"/>
        <scheme val="minor"/>
      </rPr>
      <t>香养殖</t>
    </r>
    <r>
      <rPr>
        <sz val="11"/>
        <color theme="1"/>
        <rFont val="ＭＳ Ｐゴシック"/>
        <family val="3"/>
        <charset val="134"/>
        <scheme val="minor"/>
      </rPr>
      <t>专业</t>
    </r>
    <r>
      <rPr>
        <sz val="11"/>
        <color theme="1"/>
        <rFont val="ＭＳ Ｐゴシック"/>
        <family val="3"/>
        <charset val="128"/>
        <scheme val="minor"/>
      </rPr>
      <t>合作社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</si>
  <si>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梨酒; 米酒; 葡萄酒; 白酒; 黄酒</t>
    </r>
  </si>
  <si>
    <t>鼎佑丰</t>
  </si>
  <si>
    <r>
      <t>澳茅酒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（江</t>
    </r>
    <r>
      <rPr>
        <sz val="11"/>
        <color theme="1"/>
        <rFont val="ＭＳ Ｐゴシック"/>
        <family val="3"/>
        <charset val="134"/>
        <scheme val="minor"/>
      </rPr>
      <t>苏</t>
    </r>
    <r>
      <rPr>
        <sz val="11"/>
        <color theme="1"/>
        <rFont val="ＭＳ Ｐゴシック"/>
        <family val="3"/>
        <charset val="128"/>
        <scheme val="minor"/>
      </rPr>
      <t>）有限公司</t>
    </r>
  </si>
  <si>
    <r>
      <t>白酒; 葡萄酒; 烈酒; 高粱酒;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白干酒（中国白酒）</t>
    </r>
  </si>
  <si>
    <t>深情汕礼</t>
  </si>
  <si>
    <r>
      <t>广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9"/>
        <scheme val="minor"/>
      </rPr>
      <t>优</t>
    </r>
    <r>
      <rPr>
        <sz val="11"/>
        <color theme="1"/>
        <rFont val="ＭＳ Ｐゴシック"/>
        <family val="3"/>
        <charset val="128"/>
        <scheme val="minor"/>
      </rPr>
      <t>稀</t>
    </r>
    <r>
      <rPr>
        <sz val="11"/>
        <color theme="1"/>
        <rFont val="ＭＳ Ｐゴシック"/>
        <family val="3"/>
        <charset val="134"/>
        <scheme val="minor"/>
      </rPr>
      <t>农业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</si>
  <si>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果酒; 黄酒; 蜂蜜酒; 葡萄酒; 佐餐酒; 开胃酒;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</t>
    </r>
  </si>
  <si>
    <r>
      <t>酒海</t>
    </r>
    <r>
      <rPr>
        <sz val="11"/>
        <color theme="1"/>
        <rFont val="ＭＳ Ｐゴシック"/>
        <family val="3"/>
        <charset val="134"/>
        <scheme val="minor"/>
      </rPr>
      <t>寻</t>
    </r>
    <r>
      <rPr>
        <sz val="11"/>
        <color theme="1"/>
        <rFont val="ＭＳ Ｐゴシック"/>
        <family val="3"/>
        <charset val="128"/>
        <scheme val="minor"/>
      </rPr>
      <t>珍</t>
    </r>
  </si>
  <si>
    <t>梁秋峰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</si>
  <si>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汽酒;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果酒（含酒精）; 青稞酒</t>
    </r>
  </si>
  <si>
    <t>杜少侠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</si>
  <si>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葡萄酒; 威士忌; 果酒（含酒精）; 烈酒; 清酒（日本米酒）</t>
    </r>
  </si>
  <si>
    <t>酒海拾珍</t>
  </si>
  <si>
    <r>
      <t xml:space="preserve">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汽酒; 青稞酒; 白酒;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</si>
  <si>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白酒; 蒸煮提取物（利口酒和烈酒）;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开胃酒; 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</t>
    </r>
  </si>
  <si>
    <t>BLOSSOMSYA-SO</t>
  </si>
  <si>
    <r>
      <t>泽东</t>
    </r>
    <r>
      <rPr>
        <sz val="11"/>
        <color theme="1"/>
        <rFont val="ＭＳ Ｐゴシック"/>
        <family val="3"/>
        <charset val="128"/>
        <scheme val="minor"/>
      </rPr>
      <t>事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所有限公司</t>
    </r>
  </si>
  <si>
    <r>
      <t>葡萄酒; 果酒（含酒精）; 利口酒; 威士忌;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</si>
  <si>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t>臻召德</t>
  </si>
  <si>
    <r>
      <t>青</t>
    </r>
    <r>
      <rPr>
        <sz val="11"/>
        <color theme="1"/>
        <rFont val="ＭＳ Ｐゴシック"/>
        <family val="3"/>
        <charset val="134"/>
        <scheme val="minor"/>
      </rPr>
      <t>岛</t>
    </r>
    <r>
      <rPr>
        <sz val="11"/>
        <color theme="1"/>
        <rFont val="ＭＳ Ｐゴシック"/>
        <family val="3"/>
        <charset val="128"/>
        <scheme val="minor"/>
      </rPr>
      <t>荣生堂生物科技有限公司</t>
    </r>
  </si>
  <si>
    <r>
      <t xml:space="preserve">食用酒精; 白酒; 果酒（含酒精）; 葡萄酒; 露酒;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</si>
  <si>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韩</t>
    </r>
    <r>
      <rPr>
        <sz val="11"/>
        <color theme="1"/>
        <rFont val="ＭＳ Ｐゴシック"/>
        <family val="3"/>
        <charset val="128"/>
        <scheme val="minor"/>
      </rPr>
      <t>句</t>
    </r>
  </si>
  <si>
    <r>
      <t>钱</t>
    </r>
    <r>
      <rPr>
        <sz val="11"/>
        <color theme="1"/>
        <rFont val="ＭＳ Ｐゴシック"/>
        <family val="3"/>
        <charset val="128"/>
        <scheme val="minor"/>
      </rPr>
      <t>里云</t>
    </r>
  </si>
  <si>
    <r>
      <t>米酒; 酸酒（低等葡萄酒）; 食用酒精; 烈酒;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蒸煮提取物（利口酒和烈酒）; 餐后酒（利口酒和烈酒）;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</si>
  <si>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铸</t>
    </r>
    <r>
      <rPr>
        <sz val="11"/>
        <color theme="1"/>
        <rFont val="ＭＳ Ｐゴシック"/>
        <family val="3"/>
        <charset val="128"/>
        <scheme val="minor"/>
      </rPr>
      <t>合</t>
    </r>
  </si>
  <si>
    <r>
      <t>四川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洄庄园</t>
    </r>
    <r>
      <rPr>
        <sz val="11"/>
        <color theme="1"/>
        <rFont val="ＭＳ Ｐゴシック"/>
        <family val="3"/>
        <charset val="134"/>
        <scheme val="minor"/>
      </rPr>
      <t>电</t>
    </r>
    <r>
      <rPr>
        <sz val="11"/>
        <color theme="1"/>
        <rFont val="ＭＳ Ｐゴシック"/>
        <family val="3"/>
        <charset val="128"/>
        <scheme val="minor"/>
      </rPr>
      <t>子商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</si>
  <si>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黄酒;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蒸煮提取物（利口酒和烈酒）;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白酒</t>
    </r>
  </si>
  <si>
    <t>SARDIKING</t>
  </si>
  <si>
    <r>
      <t>上海醉墨商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</si>
  <si>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清酒（日本米酒）; 果酒（含酒精）; 米酒;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</si>
  <si>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古庸王</t>
  </si>
  <si>
    <r>
      <t>张</t>
    </r>
    <r>
      <rPr>
        <sz val="11"/>
        <color theme="1"/>
        <rFont val="ＭＳ Ｐゴシック"/>
        <family val="3"/>
        <charset val="128"/>
        <scheme val="minor"/>
      </rPr>
      <t>家界</t>
    </r>
    <r>
      <rPr>
        <sz val="11"/>
        <color theme="1"/>
        <rFont val="ＭＳ Ｐゴシック"/>
        <family val="3"/>
        <charset val="134"/>
        <scheme val="minor"/>
      </rPr>
      <t>鲵</t>
    </r>
    <r>
      <rPr>
        <sz val="11"/>
        <color theme="1"/>
        <rFont val="ＭＳ Ｐゴシック"/>
        <family val="3"/>
        <charset val="128"/>
        <scheme val="minor"/>
      </rPr>
      <t>源酒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</si>
  <si>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薄荷酒; 黄酒; 米酒; 葡萄酒; 青稞酒;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</si>
  <si>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汉</t>
    </r>
    <r>
      <rPr>
        <sz val="11"/>
        <color theme="1"/>
        <rFont val="ＭＳ Ｐゴシック"/>
        <family val="3"/>
        <charset val="128"/>
        <scheme val="minor"/>
      </rPr>
      <t>达</t>
    </r>
    <r>
      <rPr>
        <sz val="11"/>
        <color theme="1"/>
        <rFont val="ＭＳ Ｐゴシック"/>
        <family val="3"/>
        <charset val="134"/>
        <scheme val="minor"/>
      </rPr>
      <t>汉</t>
    </r>
  </si>
  <si>
    <r>
      <t>吕</t>
    </r>
    <r>
      <rPr>
        <sz val="11"/>
        <color theme="1"/>
        <rFont val="ＭＳ Ｐゴシック"/>
        <family val="3"/>
        <charset val="128"/>
        <scheme val="minor"/>
      </rPr>
      <t>常久*****************X</t>
    </r>
  </si>
  <si>
    <r>
      <t>米酒; 葡萄酒; 利口酒; 高粱酒; 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开胃酒; 白酒;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</si>
  <si>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CHANSON LAIRICH</t>
  </si>
  <si>
    <r>
      <t>上海露</t>
    </r>
    <r>
      <rPr>
        <sz val="11"/>
        <color theme="1"/>
        <rFont val="ＭＳ Ｐゴシック"/>
        <family val="3"/>
        <charset val="134"/>
        <scheme val="minor"/>
      </rPr>
      <t>鹊</t>
    </r>
    <r>
      <rPr>
        <sz val="11"/>
        <color theme="1"/>
        <rFont val="ＭＳ Ｐゴシック"/>
        <family val="3"/>
        <charset val="128"/>
        <scheme val="minor"/>
      </rPr>
      <t>国</t>
    </r>
    <r>
      <rPr>
        <sz val="11"/>
        <color theme="1"/>
        <rFont val="ＭＳ Ｐゴシック"/>
        <family val="3"/>
        <charset val="134"/>
        <scheme val="minor"/>
      </rPr>
      <t>际贸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</si>
  <si>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 xml:space="preserve">伏特加酒;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果酒（含酒精）</t>
    </r>
  </si>
  <si>
    <r>
      <t>巅</t>
    </r>
    <r>
      <rPr>
        <sz val="11"/>
        <color theme="1"/>
        <rFont val="ＭＳ Ｐゴシック"/>
        <family val="3"/>
        <charset val="128"/>
        <scheme val="minor"/>
      </rPr>
      <t>付侠</t>
    </r>
  </si>
  <si>
    <r>
      <t>上海盛付通</t>
    </r>
    <r>
      <rPr>
        <sz val="11"/>
        <color theme="1"/>
        <rFont val="ＭＳ Ｐゴシック"/>
        <family val="3"/>
        <charset val="134"/>
        <scheme val="minor"/>
      </rPr>
      <t>赋</t>
    </r>
    <r>
      <rPr>
        <sz val="11"/>
        <color theme="1"/>
        <rFont val="ＭＳ Ｐゴシック"/>
        <family val="3"/>
        <charset val="128"/>
        <scheme val="minor"/>
      </rPr>
      <t>能企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咨</t>
    </r>
    <r>
      <rPr>
        <sz val="11"/>
        <color theme="1"/>
        <rFont val="ＭＳ Ｐゴシック"/>
        <family val="3"/>
        <charset val="134"/>
        <scheme val="minor"/>
      </rPr>
      <t>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</si>
  <si>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黄酒; 食用酒精; 白酒; 白干酒（中国白酒）;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米酒; 果酒（含酒精）</t>
    </r>
  </si>
  <si>
    <r>
      <t>唐</t>
    </r>
    <r>
      <rPr>
        <sz val="11"/>
        <color theme="1"/>
        <rFont val="ＭＳ Ｐゴシック"/>
        <family val="3"/>
        <charset val="134"/>
        <scheme val="minor"/>
      </rPr>
      <t>宫贞传</t>
    </r>
  </si>
  <si>
    <r>
      <t>王</t>
    </r>
    <r>
      <rPr>
        <sz val="11"/>
        <color theme="1"/>
        <rFont val="ＭＳ Ｐゴシック"/>
        <family val="3"/>
        <charset val="134"/>
        <scheme val="minor"/>
      </rPr>
      <t>东伟</t>
    </r>
  </si>
  <si>
    <r>
      <t>清酒（日本米酒）; 果酒; 白酒; 高粱酒;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果酒（含酒精）; 甜酒; 葡萄酒; 露酒</t>
    </r>
  </si>
  <si>
    <r>
      <t>粟</t>
    </r>
    <r>
      <rPr>
        <sz val="11"/>
        <color theme="1"/>
        <rFont val="ＭＳ Ｐゴシック"/>
        <family val="3"/>
        <charset val="134"/>
        <scheme val="minor"/>
      </rPr>
      <t>乡</t>
    </r>
    <r>
      <rPr>
        <sz val="11"/>
        <color theme="1"/>
        <rFont val="ＭＳ Ｐゴシック"/>
        <family val="3"/>
        <charset val="128"/>
        <scheme val="minor"/>
      </rPr>
      <t>金樽</t>
    </r>
  </si>
  <si>
    <r>
      <t>敖</t>
    </r>
    <r>
      <rPr>
        <sz val="11"/>
        <color theme="1"/>
        <rFont val="ＭＳ Ｐゴシック"/>
        <family val="3"/>
        <charset val="134"/>
        <scheme val="minor"/>
      </rPr>
      <t>汉</t>
    </r>
    <r>
      <rPr>
        <sz val="11"/>
        <color theme="1"/>
        <rFont val="ＭＳ Ｐゴシック"/>
        <family val="3"/>
        <charset val="128"/>
        <scheme val="minor"/>
      </rPr>
      <t>旗德恒酒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</si>
  <si>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酒（烈酒）; 白酒; 高粱酒; 白干酒（中国白酒）; 食用酒精; 果酒（含酒精）;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</si>
  <si>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DRAGON ARMOR</t>
  </si>
  <si>
    <r>
      <t>四川天地</t>
    </r>
    <r>
      <rPr>
        <sz val="11"/>
        <color theme="1"/>
        <rFont val="ＭＳ Ｐゴシック"/>
        <family val="3"/>
        <charset val="134"/>
        <scheme val="minor"/>
      </rPr>
      <t>飘</t>
    </r>
    <r>
      <rPr>
        <sz val="11"/>
        <color theme="1"/>
        <rFont val="ＭＳ Ｐゴシック"/>
        <family val="3"/>
        <charset val="128"/>
        <scheme val="minor"/>
      </rPr>
      <t>香投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</si>
  <si>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白酒; 苦味酒; 利口酒;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食用酒精;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蒸煮提取物（利口酒和烈酒）</t>
    </r>
  </si>
  <si>
    <t>艳鸟</t>
  </si>
  <si>
    <t>张红飞</t>
  </si>
  <si>
    <r>
      <t>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预调</t>
    </r>
    <r>
      <rPr>
        <sz val="11"/>
        <color theme="1"/>
        <rFont val="ＭＳ Ｐゴシック"/>
        <family val="3"/>
        <charset val="128"/>
        <scheme val="minor"/>
      </rPr>
      <t xml:space="preserve">甜酒; 葡萄酒;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水果汽酒; 以朗姆酒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苹果酒; 果酒（含酒精）</t>
    </r>
  </si>
  <si>
    <r>
      <t>陈</t>
    </r>
    <r>
      <rPr>
        <sz val="11"/>
        <color theme="1"/>
        <rFont val="ＭＳ Ｐゴシック"/>
        <family val="3"/>
        <charset val="128"/>
        <scheme val="minor"/>
      </rPr>
      <t>式太极</t>
    </r>
  </si>
  <si>
    <r>
      <t>果酒（含酒精）; 葡萄酒; 蒸煮提取物（利口酒和烈酒）; 米酒; 汽酒;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</si>
  <si>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陈</t>
    </r>
    <r>
      <rPr>
        <sz val="11"/>
        <color theme="1"/>
        <rFont val="ＭＳ Ｐゴシック"/>
        <family val="3"/>
        <charset val="128"/>
        <scheme val="minor"/>
      </rPr>
      <t>氏太极</t>
    </r>
  </si>
  <si>
    <r>
      <t xml:space="preserve">蒸煮提取物（利口酒和烈酒）;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汽酒; 开胃酒</t>
    </r>
  </si>
  <si>
    <t>中麒福</t>
  </si>
  <si>
    <r>
      <t>何</t>
    </r>
    <r>
      <rPr>
        <sz val="11"/>
        <color theme="1"/>
        <rFont val="ＭＳ Ｐゴシック"/>
        <family val="3"/>
        <charset val="134"/>
        <scheme val="minor"/>
      </rPr>
      <t>泽</t>
    </r>
    <r>
      <rPr>
        <sz val="11"/>
        <color theme="1"/>
        <rFont val="ＭＳ Ｐゴシック"/>
        <family val="3"/>
        <charset val="128"/>
        <scheme val="minor"/>
      </rPr>
      <t>汝******************</t>
    </r>
  </si>
  <si>
    <r>
      <t>黄酒; 果酒（含酒精）; 威士忌;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</t>
    </r>
  </si>
  <si>
    <r>
      <t>桦</t>
    </r>
    <r>
      <rPr>
        <sz val="11"/>
        <color theme="1"/>
        <rFont val="ＭＳ Ｐゴシック"/>
        <family val="3"/>
        <charset val="128"/>
        <scheme val="minor"/>
      </rPr>
      <t>康福</t>
    </r>
  </si>
  <si>
    <r>
      <t>宁波</t>
    </r>
    <r>
      <rPr>
        <sz val="11"/>
        <color theme="1"/>
        <rFont val="ＭＳ Ｐゴシック"/>
        <family val="3"/>
        <charset val="134"/>
        <scheme val="minor"/>
      </rPr>
      <t>桦</t>
    </r>
    <r>
      <rPr>
        <sz val="11"/>
        <color theme="1"/>
        <rFont val="ＭＳ Ｐゴシック"/>
        <family val="3"/>
        <charset val="128"/>
        <scheme val="minor"/>
      </rPr>
      <t>康科技有限公司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</si>
  <si>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果酒（含酒精）; 米酒; 清酒（日本米酒）; 葡萄酒</t>
    </r>
  </si>
  <si>
    <r>
      <t>大</t>
    </r>
    <r>
      <rPr>
        <sz val="11"/>
        <color theme="1"/>
        <rFont val="ＭＳ Ｐゴシック"/>
        <family val="3"/>
        <charset val="134"/>
        <scheme val="minor"/>
      </rPr>
      <t>汉</t>
    </r>
    <r>
      <rPr>
        <sz val="11"/>
        <color theme="1"/>
        <rFont val="ＭＳ Ｐゴシック"/>
        <family val="3"/>
        <charset val="128"/>
        <scheme val="minor"/>
      </rPr>
      <t>英豪</t>
    </r>
  </si>
  <si>
    <r>
      <t>通化紫气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来生物科技有限公司</t>
    </r>
  </si>
  <si>
    <r>
      <t xml:space="preserve">清酒（日本米酒）; 黄酒;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米酒; 伏特加酒; 蒸煮提取物（利口酒和烈酒）;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</si>
  <si>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聚宝福</t>
  </si>
  <si>
    <r>
      <t>黄</t>
    </r>
    <r>
      <rPr>
        <sz val="11"/>
        <color theme="1"/>
        <rFont val="ＭＳ Ｐゴシック"/>
        <family val="3"/>
        <charset val="134"/>
        <scheme val="minor"/>
      </rPr>
      <t>鹏</t>
    </r>
  </si>
  <si>
    <r>
      <t>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米酒; 餐后酒（利口酒和烈酒）; 开胃酒;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清酒（日本米酒）; 白酒</t>
    </r>
  </si>
  <si>
    <t>汝漂</t>
  </si>
  <si>
    <t>肖秒</t>
  </si>
  <si>
    <r>
      <t xml:space="preserve">开胃酒; 烈酒; 白干酒（中国白酒）;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蜂蜜酒; 甜酒; 果酒;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梨酒</t>
    </r>
  </si>
  <si>
    <r>
      <t>忆</t>
    </r>
    <r>
      <rPr>
        <sz val="11"/>
        <color theme="1"/>
        <rFont val="ＭＳ Ｐゴシック"/>
        <family val="3"/>
        <charset val="128"/>
        <scheme val="minor"/>
      </rPr>
      <t>王尊</t>
    </r>
  </si>
  <si>
    <r>
      <t>廖</t>
    </r>
    <r>
      <rPr>
        <sz val="11"/>
        <color theme="1"/>
        <rFont val="ＭＳ Ｐゴシック"/>
        <family val="3"/>
        <charset val="134"/>
        <scheme val="minor"/>
      </rPr>
      <t>剑辉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</si>
  <si>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威士忌; 白酒; 蒸煮提取物（利口酒和烈酒）;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葡萄酒</t>
    </r>
  </si>
  <si>
    <t>家立圣</t>
  </si>
  <si>
    <t>台州市立圣智能科技有限公司</t>
  </si>
  <si>
    <r>
      <t>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伏特加酒; 餐后酒（利口酒和烈酒）; 威士忌; 黄酒; 米酒; 果酒（含酒精）</t>
    </r>
  </si>
  <si>
    <t>使牛匠</t>
  </si>
  <si>
    <r>
      <t>唐</t>
    </r>
    <r>
      <rPr>
        <sz val="11"/>
        <color theme="1"/>
        <rFont val="ＭＳ Ｐゴシック"/>
        <family val="3"/>
        <charset val="129"/>
        <scheme val="minor"/>
      </rPr>
      <t>强</t>
    </r>
  </si>
  <si>
    <r>
      <t>白酒;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苹果酒; 黄酒; 蜂蜜酒</t>
    </r>
  </si>
  <si>
    <r>
      <t>红</t>
    </r>
    <r>
      <rPr>
        <sz val="11"/>
        <color theme="1"/>
        <rFont val="ＭＳ Ｐゴシック"/>
        <family val="3"/>
        <charset val="128"/>
        <scheme val="minor"/>
      </rPr>
      <t>侑</t>
    </r>
    <r>
      <rPr>
        <sz val="11"/>
        <color theme="1"/>
        <rFont val="ＭＳ Ｐゴシック"/>
        <family val="3"/>
        <charset val="134"/>
        <scheme val="minor"/>
      </rPr>
      <t>诗</t>
    </r>
  </si>
  <si>
    <r>
      <t>红</t>
    </r>
    <r>
      <rPr>
        <sz val="11"/>
        <color theme="1"/>
        <rFont val="ＭＳ Ｐゴシック"/>
        <family val="3"/>
        <charset val="128"/>
        <scheme val="minor"/>
      </rPr>
      <t>色酒堡（深圳）有限公司</t>
    </r>
  </si>
  <si>
    <r>
      <t>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利口酒; 白酒; 朗姆酒;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伏特加酒;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</si>
  <si>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深根万物</t>
  </si>
  <si>
    <r>
      <t>吐</t>
    </r>
    <r>
      <rPr>
        <sz val="11"/>
        <color theme="1"/>
        <rFont val="ＭＳ Ｐゴシック"/>
        <family val="3"/>
        <charset val="134"/>
        <scheme val="minor"/>
      </rPr>
      <t>鲁</t>
    </r>
    <r>
      <rPr>
        <sz val="11"/>
        <color theme="1"/>
        <rFont val="ＭＳ Ｐゴシック"/>
        <family val="3"/>
        <charset val="128"/>
        <scheme val="minor"/>
      </rPr>
      <t>番楼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酒庄股份有限公司</t>
    </r>
  </si>
  <si>
    <r>
      <t>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清酒（日本米酒）;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果酒（含酒精）;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</t>
    </r>
  </si>
  <si>
    <r>
      <t>妻</t>
    </r>
    <r>
      <rPr>
        <sz val="11"/>
        <color theme="1"/>
        <rFont val="ＭＳ Ｐゴシック"/>
        <family val="3"/>
        <charset val="134"/>
        <scheme val="minor"/>
      </rPr>
      <t>铭</t>
    </r>
  </si>
  <si>
    <r>
      <t>白酒; 葡萄酒;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清酒（日本米酒）</t>
    </r>
  </si>
  <si>
    <r>
      <t>领</t>
    </r>
    <r>
      <rPr>
        <sz val="11"/>
        <color theme="1"/>
        <rFont val="ＭＳ Ｐゴシック"/>
        <family val="3"/>
        <charset val="128"/>
        <scheme val="minor"/>
      </rPr>
      <t>双</t>
    </r>
  </si>
  <si>
    <t>安徽万辰智谷信息科技有限公司</t>
  </si>
  <si>
    <r>
      <t>米酒; 黄酒; 食用酒精; 白酒; 果酒（含酒精）;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</si>
  <si>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r>
      <t>仙醉富</t>
    </r>
    <r>
      <rPr>
        <sz val="11"/>
        <color theme="1"/>
        <rFont val="ＭＳ Ｐゴシック"/>
        <family val="3"/>
        <charset val="134"/>
        <scheme val="minor"/>
      </rPr>
      <t>酿</t>
    </r>
  </si>
  <si>
    <r>
      <t>代富</t>
    </r>
    <r>
      <rPr>
        <sz val="11"/>
        <color theme="1"/>
        <rFont val="ＭＳ Ｐゴシック"/>
        <family val="3"/>
        <charset val="134"/>
        <scheme val="minor"/>
      </rPr>
      <t>权</t>
    </r>
  </si>
  <si>
    <r>
      <t>葡萄酒; 利口酒; 烈酒;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白酒; 开胃酒; 餐后酒（利口酒和烈酒）</t>
    </r>
  </si>
  <si>
    <r>
      <t>谷家园</t>
    </r>
    <r>
      <rPr>
        <sz val="11"/>
        <color theme="1"/>
        <rFont val="ＭＳ Ｐゴシック"/>
        <family val="3"/>
        <charset val="134"/>
        <scheme val="minor"/>
      </rPr>
      <t>陈</t>
    </r>
    <r>
      <rPr>
        <sz val="11"/>
        <color theme="1"/>
        <rFont val="ＭＳ Ｐゴシック"/>
        <family val="3"/>
        <charset val="128"/>
        <scheme val="minor"/>
      </rPr>
      <t>氏 GU JIA YUAN</t>
    </r>
  </si>
  <si>
    <r>
      <t>唐山谷家园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酒有限公司</t>
    </r>
  </si>
  <si>
    <r>
      <t>青稞酒; 白酒; 高粱酒;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</si>
  <si>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莓</t>
    </r>
    <r>
      <rPr>
        <sz val="11"/>
        <color theme="1"/>
        <rFont val="ＭＳ Ｐゴシック"/>
        <family val="3"/>
        <charset val="134"/>
        <scheme val="minor"/>
      </rPr>
      <t>爱</t>
    </r>
    <r>
      <rPr>
        <sz val="11"/>
        <color theme="1"/>
        <rFont val="ＭＳ Ｐゴシック"/>
        <family val="3"/>
        <charset val="128"/>
        <scheme val="minor"/>
      </rPr>
      <t>你</t>
    </r>
  </si>
  <si>
    <r>
      <t>孟祥</t>
    </r>
    <r>
      <rPr>
        <sz val="11"/>
        <color theme="1"/>
        <rFont val="ＭＳ Ｐゴシック"/>
        <family val="3"/>
        <charset val="134"/>
        <scheme val="minor"/>
      </rPr>
      <t>龙</t>
    </r>
  </si>
  <si>
    <r>
      <t xml:space="preserve">伏特加酒; 米酒; 梅酒; 葡萄酒; 果酒（含酒精）; 清酒;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杜松子酒</t>
    </r>
  </si>
  <si>
    <r>
      <t>明</t>
    </r>
    <r>
      <rPr>
        <sz val="11"/>
        <color theme="1"/>
        <rFont val="ＭＳ Ｐゴシック"/>
        <family val="3"/>
        <charset val="134"/>
        <scheme val="minor"/>
      </rPr>
      <t>贶</t>
    </r>
  </si>
  <si>
    <r>
      <t>潮州市</t>
    </r>
    <r>
      <rPr>
        <sz val="11"/>
        <color theme="1"/>
        <rFont val="ＭＳ Ｐゴシック"/>
        <family val="3"/>
        <charset val="134"/>
        <scheme val="minor"/>
      </rPr>
      <t>腾远贸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</si>
  <si>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黄酒; 蒸煮提取物（利口酒和烈酒）; 白酒;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</t>
    </r>
  </si>
  <si>
    <r>
      <t>柒</t>
    </r>
    <r>
      <rPr>
        <sz val="11"/>
        <color theme="1"/>
        <rFont val="ＭＳ Ｐゴシック"/>
        <family val="3"/>
        <charset val="134"/>
        <scheme val="minor"/>
      </rPr>
      <t>诸</t>
    </r>
    <r>
      <rPr>
        <sz val="11"/>
        <color theme="1"/>
        <rFont val="ＭＳ Ｐゴシック"/>
        <family val="3"/>
        <charset val="128"/>
        <scheme val="minor"/>
      </rPr>
      <t>葛</t>
    </r>
  </si>
  <si>
    <r>
      <t>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壹茶壹酒商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</si>
  <si>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威士忌; 葡萄酒; 薄荷酒; 黄酒; 果酒; 米酒; 烈酒</t>
    </r>
  </si>
  <si>
    <r>
      <t>六焙</t>
    </r>
    <r>
      <rPr>
        <sz val="11"/>
        <color theme="1"/>
        <rFont val="ＭＳ Ｐゴシック"/>
        <family val="3"/>
        <charset val="134"/>
        <scheme val="minor"/>
      </rPr>
      <t>乐</t>
    </r>
  </si>
  <si>
    <r>
      <t>济</t>
    </r>
    <r>
      <rPr>
        <sz val="11"/>
        <color theme="1"/>
        <rFont val="ＭＳ Ｐゴシック"/>
        <family val="3"/>
        <charset val="128"/>
        <scheme val="minor"/>
      </rPr>
      <t>南众博餐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</si>
  <si>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苦味酒;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酸酒（低等葡萄酒）; 青稞酒;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朗姆酒;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</t>
    </r>
  </si>
  <si>
    <t>清橡</t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</si>
  <si>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食用酒精;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利口酒; 果酒（含酒精）; 苦味酒; 蒸煮提取物（利口酒和烈酒）</t>
    </r>
  </si>
  <si>
    <t>辛老板</t>
  </si>
  <si>
    <r>
      <t>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正臻</t>
    </r>
    <r>
      <rPr>
        <sz val="11"/>
        <color theme="1"/>
        <rFont val="ＭＳ Ｐゴシック"/>
        <family val="3"/>
        <charset val="134"/>
        <scheme val="minor"/>
      </rPr>
      <t>药业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</si>
  <si>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米酒; 利口酒; 清酒; 葡萄酒;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</si>
  <si>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龙</t>
    </r>
    <r>
      <rPr>
        <sz val="11"/>
        <color theme="1"/>
        <rFont val="ＭＳ Ｐゴシック"/>
        <family val="3"/>
        <charset val="128"/>
        <scheme val="minor"/>
      </rPr>
      <t>溯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</si>
  <si>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开胃酒; 米酒; 葡萄酒; 蒸煮提取物（利口酒和烈酒）</t>
    </r>
  </si>
  <si>
    <r>
      <t>小</t>
    </r>
    <r>
      <rPr>
        <sz val="11"/>
        <color theme="1"/>
        <rFont val="ＭＳ Ｐゴシック"/>
        <family val="3"/>
        <charset val="134"/>
        <scheme val="minor"/>
      </rPr>
      <t>笼</t>
    </r>
    <r>
      <rPr>
        <sz val="11"/>
        <color theme="1"/>
        <rFont val="ＭＳ Ｐゴシック"/>
        <family val="3"/>
        <charset val="128"/>
        <scheme val="minor"/>
      </rPr>
      <t>仁</t>
    </r>
  </si>
  <si>
    <t>李德田</t>
  </si>
  <si>
    <r>
      <t xml:space="preserve">清酒（日本米酒）; 米酒;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 xml:space="preserve">梅酒; 葡萄酒; 高粱酒; 威士忌; 果酒（含酒精）;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</si>
  <si>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r>
      <t>晴山</t>
    </r>
    <r>
      <rPr>
        <sz val="11"/>
        <color theme="1"/>
        <rFont val="ＭＳ Ｐゴシック"/>
        <family val="3"/>
        <charset val="134"/>
        <scheme val="minor"/>
      </rPr>
      <t>见</t>
    </r>
  </si>
  <si>
    <t>川物集(四川)品牌管理有限公司</t>
  </si>
  <si>
    <t>梅酒; 咖啡利口酒; 清酒; 白酒; 青梅酒; 米酒; 汽酒; 黄酒; 果酒; 威士忌</t>
  </si>
  <si>
    <t>大肚良</t>
  </si>
  <si>
    <r>
      <t>北京</t>
    </r>
    <r>
      <rPr>
        <sz val="11"/>
        <color theme="1"/>
        <rFont val="ＭＳ Ｐゴシック"/>
        <family val="3"/>
        <charset val="134"/>
        <scheme val="minor"/>
      </rPr>
      <t>鸿</t>
    </r>
    <r>
      <rPr>
        <sz val="11"/>
        <color theme="1"/>
        <rFont val="ＭＳ Ｐゴシック"/>
        <family val="3"/>
        <charset val="128"/>
        <scheme val="minor"/>
      </rPr>
      <t>元</t>
    </r>
    <r>
      <rPr>
        <sz val="11"/>
        <color theme="1"/>
        <rFont val="ＭＳ Ｐゴシック"/>
        <family val="3"/>
        <charset val="134"/>
        <scheme val="minor"/>
      </rPr>
      <t>锦辉</t>
    </r>
    <r>
      <rPr>
        <sz val="11"/>
        <color theme="1"/>
        <rFont val="ＭＳ Ｐゴシック"/>
        <family val="3"/>
        <charset val="128"/>
        <scheme val="minor"/>
      </rPr>
      <t>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</si>
  <si>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果酒（含酒精）; 葡萄酒; 食用酒精;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汽酒;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</t>
    </r>
  </si>
  <si>
    <r>
      <t>物</t>
    </r>
    <r>
      <rPr>
        <sz val="11"/>
        <color theme="1"/>
        <rFont val="ＭＳ Ｐゴシック"/>
        <family val="3"/>
        <charset val="134"/>
        <scheme val="minor"/>
      </rPr>
      <t>阐</t>
    </r>
  </si>
  <si>
    <r>
      <t>衡水道德技</t>
    </r>
    <r>
      <rPr>
        <sz val="11"/>
        <color theme="1"/>
        <rFont val="ＭＳ Ｐゴシック"/>
        <family val="3"/>
        <charset val="134"/>
        <scheme val="minor"/>
      </rPr>
      <t>术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</si>
  <si>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苹果酒; 梨酒;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白酒;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</t>
    </r>
  </si>
  <si>
    <t>聚恩园</t>
  </si>
  <si>
    <r>
      <t>北京</t>
    </r>
    <r>
      <rPr>
        <sz val="11"/>
        <color theme="1"/>
        <rFont val="ＭＳ Ｐゴシック"/>
        <family val="3"/>
        <charset val="134"/>
        <scheme val="minor"/>
      </rPr>
      <t>汇</t>
    </r>
    <r>
      <rPr>
        <sz val="11"/>
        <color theme="1"/>
        <rFont val="ＭＳ Ｐゴシック"/>
        <family val="3"/>
        <charset val="128"/>
        <scheme val="minor"/>
      </rPr>
      <t>昌众合文化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</si>
  <si>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茴芹酒（利口酒）; 白酒;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果酒（含酒精）; 米酒; 薄荷酒;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</si>
  <si>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水畔乾居</t>
  </si>
  <si>
    <t>西湖人家（河南）文化旅游有限公司</t>
  </si>
  <si>
    <r>
      <t>果酒（含酒精）; 米酒; 清酒; 烈酒; 葡萄酒; 薄荷酒; 白酒;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</si>
  <si>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玉虹舟</t>
  </si>
  <si>
    <r>
      <t>白酒; 黄酒; 露酒; 清酒;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果酒（含酒精）;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烈酒</t>
    </r>
  </si>
  <si>
    <t>鄞客来</t>
  </si>
  <si>
    <r>
      <t>宁波市鄞州区</t>
    </r>
    <r>
      <rPr>
        <sz val="11"/>
        <color theme="1"/>
        <rFont val="ＭＳ Ｐゴシック"/>
        <family val="3"/>
        <charset val="134"/>
        <scheme val="minor"/>
      </rPr>
      <t>农</t>
    </r>
    <r>
      <rPr>
        <sz val="11"/>
        <color theme="1"/>
        <rFont val="ＭＳ Ｐゴシック"/>
        <family val="3"/>
        <charset val="128"/>
        <scheme val="minor"/>
      </rPr>
      <t>民合作</t>
    </r>
    <r>
      <rPr>
        <sz val="11"/>
        <color theme="1"/>
        <rFont val="ＭＳ Ｐゴシック"/>
        <family val="3"/>
        <charset val="134"/>
        <scheme val="minor"/>
      </rPr>
      <t>经济组织联</t>
    </r>
    <r>
      <rPr>
        <sz val="11"/>
        <color theme="1"/>
        <rFont val="ＭＳ Ｐゴシック"/>
        <family val="3"/>
        <charset val="128"/>
        <scheme val="minor"/>
      </rPr>
      <t>合会</t>
    </r>
  </si>
  <si>
    <r>
      <t xml:space="preserve">威士忌;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清酒（日本米酒）;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</si>
  <si>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CLOU DU PIN</t>
  </si>
  <si>
    <r>
      <t>米酒;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开胃酒; 蒸煮提取物（利口酒和烈酒）; 白酒</t>
    </r>
  </si>
  <si>
    <r>
      <t>威</t>
    </r>
    <r>
      <rPr>
        <sz val="11"/>
        <color theme="1"/>
        <rFont val="ＭＳ Ｐゴシック"/>
        <family val="3"/>
        <charset val="134"/>
        <scheme val="minor"/>
      </rPr>
      <t>仑</t>
    </r>
    <r>
      <rPr>
        <sz val="11"/>
        <color theme="1"/>
        <rFont val="ＭＳ Ｐゴシック"/>
        <family val="3"/>
        <charset val="128"/>
        <scheme val="minor"/>
      </rPr>
      <t>思</t>
    </r>
  </si>
  <si>
    <t>丘永福</t>
  </si>
  <si>
    <r>
      <t xml:space="preserve">果酒（含酒精）; 葡萄酒;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蒸煮提取物（利口酒和烈酒）;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</si>
  <si>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依巴勒</t>
  </si>
  <si>
    <t>新疆依巴勒生物科技有限公司</t>
  </si>
  <si>
    <r>
      <t xml:space="preserve">蜂蜜酒; 青稞酒;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黄酒; 开胃酒</t>
    </r>
  </si>
  <si>
    <t>锦峥</t>
  </si>
  <si>
    <r>
      <t>湖南</t>
    </r>
    <r>
      <rPr>
        <sz val="11"/>
        <color theme="1"/>
        <rFont val="ＭＳ Ｐゴシック"/>
        <family val="3"/>
        <charset val="134"/>
        <scheme val="minor"/>
      </rPr>
      <t>锦峥</t>
    </r>
    <r>
      <rPr>
        <sz val="11"/>
        <color theme="1"/>
        <rFont val="ＭＳ Ｐゴシック"/>
        <family val="3"/>
        <charset val="128"/>
        <scheme val="minor"/>
      </rPr>
      <t>物</t>
    </r>
    <r>
      <rPr>
        <sz val="11"/>
        <color theme="1"/>
        <rFont val="ＭＳ Ｐゴシック"/>
        <family val="3"/>
        <charset val="134"/>
        <scheme val="minor"/>
      </rPr>
      <t>业发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</si>
  <si>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 xml:space="preserve">烈酒; 露酒; 果酒; 利口酒; 高粱酒;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白干酒（中国白酒）; 白酒</t>
    </r>
  </si>
  <si>
    <t>郡王旗</t>
  </si>
  <si>
    <t>伊金霍洛旗王家庄种养殖有限公司</t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</si>
  <si>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威士忌; 葡萄酒;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利口酒; 高粱酒; 白酒; 果酒（含酒精）; 黄酒</t>
    </r>
  </si>
  <si>
    <t>短鼻象</t>
  </si>
  <si>
    <t>关森林</t>
  </si>
  <si>
    <t>食用酒精; 果酒; 白酒; 葡萄酒; 米酒; 清酒; 甜酒; 开胃酒; 汽酒; 黄酒</t>
  </si>
  <si>
    <t>隆祥生活</t>
  </si>
  <si>
    <t>濮阳市隆祥超市有限公司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</si>
  <si>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葡萄酒; 蒸煮提取物（利口酒和烈酒）;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</si>
  <si>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t>刘老哥</t>
  </si>
  <si>
    <r>
      <t>襄阳刘老哥旅游服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</si>
  <si>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白干酒（中国白酒）;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高粱酒; 黄酒; 葡萄酒;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米酒</t>
    </r>
  </si>
  <si>
    <t>礼氏双佳</t>
  </si>
  <si>
    <r>
      <t>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双佳</t>
    </r>
    <r>
      <rPr>
        <sz val="11"/>
        <color theme="1"/>
        <rFont val="ＭＳ Ｐゴシック"/>
        <family val="3"/>
        <charset val="134"/>
        <scheme val="minor"/>
      </rPr>
      <t>进</t>
    </r>
    <r>
      <rPr>
        <sz val="11"/>
        <color theme="1"/>
        <rFont val="ＭＳ Ｐゴシック"/>
        <family val="3"/>
        <charset val="128"/>
        <scheme val="minor"/>
      </rPr>
      <t>出口有限公司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</si>
  <si>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预调</t>
    </r>
    <r>
      <rPr>
        <sz val="11"/>
        <color theme="1"/>
        <rFont val="ＭＳ Ｐゴシック"/>
        <family val="3"/>
        <charset val="128"/>
        <scheme val="minor"/>
      </rPr>
      <t xml:space="preserve">甜酒; 白酒; 葡萄酒;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梨酒; 米酒</t>
    </r>
  </si>
  <si>
    <t>楚王河</t>
  </si>
  <si>
    <r>
      <t>保康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楚王河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酒厂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</si>
  <si>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利口酒;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餐后酒（利口酒和烈酒）; 青稞酒; </t>
    </r>
    <r>
      <rPr>
        <sz val="11"/>
        <color theme="1"/>
        <rFont val="ＭＳ Ｐゴシック"/>
        <family val="3"/>
        <charset val="134"/>
        <scheme val="minor"/>
      </rPr>
      <t>亚</t>
    </r>
    <r>
      <rPr>
        <sz val="11"/>
        <color theme="1"/>
        <rFont val="ＭＳ Ｐゴシック"/>
        <family val="3"/>
        <charset val="128"/>
        <scheme val="minor"/>
      </rPr>
      <t>力酒; 食用酒精;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</si>
  <si>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黔福</t>
    </r>
    <r>
      <rPr>
        <sz val="11"/>
        <color theme="1"/>
        <rFont val="ＭＳ Ｐゴシック"/>
        <family val="3"/>
        <charset val="134"/>
        <scheme val="minor"/>
      </rPr>
      <t>亿</t>
    </r>
    <r>
      <rPr>
        <sz val="11"/>
        <color theme="1"/>
        <rFont val="ＭＳ Ｐゴシック"/>
        <family val="3"/>
        <charset val="128"/>
        <scheme val="minor"/>
      </rPr>
      <t>加</t>
    </r>
  </si>
  <si>
    <t>程玉才</t>
  </si>
  <si>
    <r>
      <t>葡萄酒; 高粱酒; 果酒; 甜酒; 黄酒; 清酒; 白酒; 烈酒;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</si>
  <si>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库</t>
    </r>
    <r>
      <rPr>
        <sz val="11"/>
        <color theme="1"/>
        <rFont val="ＭＳ Ｐゴシック"/>
        <family val="3"/>
        <charset val="128"/>
        <scheme val="minor"/>
      </rPr>
      <t>洛帝堡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</si>
  <si>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葡萄酒;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蒸煮提取物（利口酒和烈酒）</t>
    </r>
  </si>
  <si>
    <t>卜租</t>
  </si>
  <si>
    <r>
      <t>合肥七号</t>
    </r>
    <r>
      <rPr>
        <sz val="11"/>
        <color theme="1"/>
        <rFont val="ＭＳ Ｐゴシック"/>
        <family val="3"/>
        <charset val="134"/>
        <scheme val="minor"/>
      </rPr>
      <t>铺</t>
    </r>
    <r>
      <rPr>
        <sz val="11"/>
        <color theme="1"/>
        <rFont val="ＭＳ Ｐゴシック"/>
        <family val="3"/>
        <charset val="128"/>
        <scheme val="minor"/>
      </rPr>
      <t>信息科技有限公司</t>
    </r>
  </si>
  <si>
    <r>
      <t>薄荷酒; 开胃酒;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白酒; 米酒; 伏特加酒;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威士忌</t>
    </r>
  </si>
  <si>
    <r>
      <t>天</t>
    </r>
    <r>
      <rPr>
        <sz val="11"/>
        <color theme="1"/>
        <rFont val="ＭＳ Ｐゴシック"/>
        <family val="3"/>
        <charset val="134"/>
        <scheme val="minor"/>
      </rPr>
      <t>聪华</t>
    </r>
    <r>
      <rPr>
        <sz val="11"/>
        <color theme="1"/>
        <rFont val="ＭＳ Ｐゴシック"/>
        <family val="3"/>
        <charset val="128"/>
        <scheme val="minor"/>
      </rPr>
      <t>仁</t>
    </r>
  </si>
  <si>
    <r>
      <t>广州市天</t>
    </r>
    <r>
      <rPr>
        <sz val="11"/>
        <color theme="1"/>
        <rFont val="ＭＳ Ｐゴシック"/>
        <family val="3"/>
        <charset val="134"/>
        <scheme val="minor"/>
      </rPr>
      <t>聪</t>
    </r>
    <r>
      <rPr>
        <sz val="11"/>
        <color theme="1"/>
        <rFont val="ＭＳ Ｐゴシック"/>
        <family val="3"/>
        <charset val="128"/>
        <scheme val="minor"/>
      </rPr>
      <t>食品有限公司</t>
    </r>
  </si>
  <si>
    <r>
      <t>苹果酒;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以朗姆酒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日本梅子酒; 果酒（含酒精）;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</si>
  <si>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古雍郡府</t>
  </si>
  <si>
    <t>段永燕</t>
  </si>
  <si>
    <r>
      <t xml:space="preserve">果酒（含酒精）; 汽酒;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甜酒</t>
    </r>
  </si>
  <si>
    <r>
      <t>惠厨</t>
    </r>
    <r>
      <rPr>
        <sz val="11"/>
        <color theme="1"/>
        <rFont val="ＭＳ Ｐゴシック"/>
        <family val="3"/>
        <charset val="134"/>
        <scheme val="minor"/>
      </rPr>
      <t>乐</t>
    </r>
  </si>
  <si>
    <r>
      <t>杭州肴厨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</si>
  <si>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米酒; 清酒（日本米酒）</t>
    </r>
  </si>
  <si>
    <t>珍味典</t>
  </si>
  <si>
    <t>甜酒; 白酒; 米酒; 食用酒精; 葡萄酒; 开胃酒; 汽酒; 果酒; 清酒; 黄酒</t>
  </si>
  <si>
    <r>
      <t>华</t>
    </r>
    <r>
      <rPr>
        <sz val="11"/>
        <color theme="1"/>
        <rFont val="ＭＳ Ｐゴシック"/>
        <family val="3"/>
        <charset val="128"/>
        <scheme val="minor"/>
      </rPr>
      <t>九帝</t>
    </r>
  </si>
  <si>
    <r>
      <t>黎</t>
    </r>
    <r>
      <rPr>
        <sz val="11"/>
        <color theme="1"/>
        <rFont val="ＭＳ Ｐゴシック"/>
        <family val="3"/>
        <charset val="134"/>
        <scheme val="minor"/>
      </rPr>
      <t>贤飞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</si>
  <si>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白酒;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黄酒; 蒸煮提取物（利口酒和烈酒）</t>
    </r>
  </si>
  <si>
    <r>
      <t>陈</t>
    </r>
    <r>
      <rPr>
        <sz val="11"/>
        <color theme="1"/>
        <rFont val="ＭＳ Ｐゴシック"/>
        <family val="3"/>
        <charset val="128"/>
        <scheme val="minor"/>
      </rPr>
      <t>氏太极和韵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</si>
  <si>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开胃酒; 白酒;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蒸煮提取物（利口酒和烈酒）;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</si>
  <si>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飘</t>
    </r>
    <r>
      <rPr>
        <sz val="11"/>
        <color theme="1"/>
        <rFont val="ＭＳ Ｐゴシック"/>
        <family val="3"/>
        <charset val="128"/>
        <scheme val="minor"/>
      </rPr>
      <t>香店小二</t>
    </r>
  </si>
  <si>
    <r>
      <t>果酒（含酒精）; 米酒; 蒸煮提取物（利口酒和烈酒）;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开胃酒</t>
    </r>
  </si>
  <si>
    <r>
      <t>飘</t>
    </r>
    <r>
      <rPr>
        <sz val="11"/>
        <color theme="1"/>
        <rFont val="ＭＳ Ｐゴシック"/>
        <family val="3"/>
        <charset val="128"/>
        <scheme val="minor"/>
      </rPr>
      <t>香掌柜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</si>
  <si>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白酒;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蒸煮提取物（利口酒和烈酒）;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</t>
    </r>
  </si>
  <si>
    <t>慧杰</t>
  </si>
  <si>
    <r>
      <t>青海慧杰</t>
    </r>
    <r>
      <rPr>
        <sz val="11"/>
        <color theme="1"/>
        <rFont val="ＭＳ Ｐゴシック"/>
        <family val="3"/>
        <charset val="134"/>
        <scheme val="minor"/>
      </rPr>
      <t>农</t>
    </r>
    <r>
      <rPr>
        <sz val="11"/>
        <color theme="1"/>
        <rFont val="ＭＳ Ｐゴシック"/>
        <family val="3"/>
        <charset val="128"/>
        <scheme val="minor"/>
      </rPr>
      <t>牧科技有限公司</t>
    </r>
  </si>
  <si>
    <r>
      <t xml:space="preserve">开胃酒; 黄酒; 苦味酒;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白酒; 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青稞酒;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清酒</t>
    </r>
  </si>
  <si>
    <t>大渡良</t>
  </si>
  <si>
    <r>
      <t>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食用酒精; 汽酒;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黄酒; 葡萄酒; 白酒</t>
    </r>
  </si>
  <si>
    <r>
      <t>陈</t>
    </r>
    <r>
      <rPr>
        <sz val="11"/>
        <color theme="1"/>
        <rFont val="ＭＳ Ｐゴシック"/>
        <family val="3"/>
        <charset val="128"/>
        <scheme val="minor"/>
      </rPr>
      <t>氏太极</t>
    </r>
    <r>
      <rPr>
        <sz val="11"/>
        <color theme="1"/>
        <rFont val="ＭＳ Ｐゴシック"/>
        <family val="3"/>
        <charset val="134"/>
        <scheme val="minor"/>
      </rPr>
      <t>见</t>
    </r>
    <r>
      <rPr>
        <sz val="11"/>
        <color theme="1"/>
        <rFont val="ＭＳ Ｐゴシック"/>
        <family val="3"/>
        <charset val="128"/>
        <scheme val="minor"/>
      </rPr>
      <t>心</t>
    </r>
  </si>
  <si>
    <r>
      <t xml:space="preserve">蒸煮提取物（利口酒和烈酒）;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米酒; 开胃酒; 白酒</t>
    </r>
  </si>
  <si>
    <r>
      <t>飘</t>
    </r>
    <r>
      <rPr>
        <sz val="11"/>
        <color theme="1"/>
        <rFont val="ＭＳ Ｐゴシック"/>
        <family val="3"/>
        <charset val="128"/>
        <scheme val="minor"/>
      </rPr>
      <t>香酒掌柜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</si>
  <si>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开胃酒; 蒸煮提取物（利口酒和烈酒）</t>
    </r>
  </si>
  <si>
    <t>人人定</t>
  </si>
  <si>
    <r>
      <t>食用酒精; 苦味酒;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蒸煮提取物（利口酒和烈酒）; 葡萄酒;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利口酒</t>
    </r>
  </si>
  <si>
    <r>
      <t>剑</t>
    </r>
    <r>
      <rPr>
        <sz val="11"/>
        <color theme="1"/>
        <rFont val="ＭＳ Ｐゴシック"/>
        <family val="3"/>
        <charset val="128"/>
        <scheme val="minor"/>
      </rPr>
      <t>之傲</t>
    </r>
  </si>
  <si>
    <r>
      <t>张</t>
    </r>
    <r>
      <rPr>
        <sz val="11"/>
        <color theme="1"/>
        <rFont val="ＭＳ Ｐゴシック"/>
        <family val="3"/>
        <charset val="128"/>
        <scheme val="minor"/>
      </rPr>
      <t>勇</t>
    </r>
  </si>
  <si>
    <r>
      <t>黄酒; 食用酒精; 高粱酒; 威士忌;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伏特加酒; 朗姆酒</t>
    </r>
  </si>
  <si>
    <r>
      <t>极</t>
    </r>
    <r>
      <rPr>
        <sz val="11"/>
        <color theme="1"/>
        <rFont val="ＭＳ Ｐゴシック"/>
        <family val="3"/>
        <charset val="134"/>
        <scheme val="minor"/>
      </rPr>
      <t>艺</t>
    </r>
  </si>
  <si>
    <r>
      <t>葡萄酒; 蒸煮提取物（利口酒和烈酒）;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</t>
    </r>
  </si>
  <si>
    <r>
      <t>爱</t>
    </r>
    <r>
      <rPr>
        <sz val="11"/>
        <color theme="1"/>
        <rFont val="ＭＳ Ｐゴシック"/>
        <family val="3"/>
        <charset val="128"/>
        <scheme val="minor"/>
      </rPr>
      <t>梵</t>
    </r>
    <r>
      <rPr>
        <sz val="11"/>
        <color theme="1"/>
        <rFont val="ＭＳ Ｐゴシック"/>
        <family val="3"/>
        <charset val="129"/>
        <scheme val="minor"/>
      </rPr>
      <t>蔻</t>
    </r>
    <r>
      <rPr>
        <sz val="11"/>
        <color theme="1"/>
        <rFont val="ＭＳ Ｐゴシック"/>
        <family val="3"/>
        <charset val="128"/>
        <scheme val="minor"/>
      </rPr>
      <t>斯</t>
    </r>
  </si>
  <si>
    <r>
      <t>广州金樽酒</t>
    </r>
    <r>
      <rPr>
        <sz val="11"/>
        <color theme="1"/>
        <rFont val="ＭＳ Ｐゴシック"/>
        <family val="3"/>
        <charset val="134"/>
        <scheme val="minor"/>
      </rPr>
      <t>业销</t>
    </r>
    <r>
      <rPr>
        <sz val="11"/>
        <color theme="1"/>
        <rFont val="ＭＳ Ｐゴシック"/>
        <family val="3"/>
        <charset val="128"/>
        <scheme val="minor"/>
      </rPr>
      <t>售有限公司</t>
    </r>
  </si>
  <si>
    <r>
      <t>开胃酒; 黄酒; 薄荷酒; 果酒（含酒精）; 白酒; 葡萄酒; 威士忌;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</si>
  <si>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t>德妮运娃</t>
  </si>
  <si>
    <r>
      <t>德州市广播</t>
    </r>
    <r>
      <rPr>
        <sz val="11"/>
        <color theme="1"/>
        <rFont val="ＭＳ Ｐゴシック"/>
        <family val="3"/>
        <charset val="134"/>
        <scheme val="minor"/>
      </rPr>
      <t>电视</t>
    </r>
    <r>
      <rPr>
        <sz val="11"/>
        <color theme="1"/>
        <rFont val="ＭＳ Ｐゴシック"/>
        <family val="3"/>
        <charset val="128"/>
        <scheme val="minor"/>
      </rPr>
      <t>台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</si>
  <si>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伏特加酒; 黄酒;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米酒; 白酒;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</si>
  <si>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橡遇</t>
  </si>
  <si>
    <r>
      <t>黄酒;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蒸煮提取物（利口酒和烈酒）;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</si>
  <si>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陈</t>
    </r>
    <r>
      <rPr>
        <sz val="11"/>
        <color theme="1"/>
        <rFont val="ＭＳ Ｐゴシック"/>
        <family val="3"/>
        <charset val="128"/>
        <scheme val="minor"/>
      </rPr>
      <t>氏太极无极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</si>
  <si>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蒸煮提取物（利口酒和烈酒）; 果酒（含酒精）; 开胃酒;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</t>
    </r>
  </si>
  <si>
    <t>湘堰</t>
  </si>
  <si>
    <r>
      <t>方志</t>
    </r>
    <r>
      <rPr>
        <sz val="11"/>
        <color theme="1"/>
        <rFont val="ＭＳ Ｐゴシック"/>
        <family val="3"/>
        <charset val="134"/>
        <scheme val="minor"/>
      </rPr>
      <t>刚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</si>
  <si>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食用酒精;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汽酒; 利口酒; 甜酒;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</t>
    </r>
  </si>
  <si>
    <t>每漫</t>
  </si>
  <si>
    <t>杨腾</t>
  </si>
  <si>
    <r>
      <t>含酒精的气泡水; 果酒（含酒精）; 苹果酒;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米酒; 薄荷酒;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</si>
  <si>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善</t>
    </r>
    <r>
      <rPr>
        <sz val="11"/>
        <color theme="1"/>
        <rFont val="ＭＳ Ｐゴシック"/>
        <family val="3"/>
        <charset val="134"/>
        <scheme val="minor"/>
      </rPr>
      <t>邻</t>
    </r>
    <r>
      <rPr>
        <sz val="11"/>
        <color theme="1"/>
        <rFont val="ＭＳ Ｐゴシック"/>
        <family val="3"/>
        <charset val="128"/>
        <scheme val="minor"/>
      </rPr>
      <t>多</t>
    </r>
  </si>
  <si>
    <r>
      <t>橡</t>
    </r>
    <r>
      <rPr>
        <sz val="11"/>
        <color theme="1"/>
        <rFont val="ＭＳ Ｐゴシック"/>
        <family val="3"/>
        <charset val="134"/>
        <scheme val="minor"/>
      </rPr>
      <t>树</t>
    </r>
    <r>
      <rPr>
        <sz val="11"/>
        <color theme="1"/>
        <rFont val="ＭＳ Ｐゴシック"/>
        <family val="3"/>
        <charset val="128"/>
        <scheme val="minor"/>
      </rPr>
      <t>部落（山西）文化交流有限公司</t>
    </r>
  </si>
  <si>
    <r>
      <t>葡萄酒; 利口酒;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汽酒; 甜酒;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</t>
    </r>
  </si>
  <si>
    <t>馥派</t>
  </si>
  <si>
    <r>
      <t>陈</t>
    </r>
    <r>
      <rPr>
        <sz val="11"/>
        <color theme="1"/>
        <rFont val="ＭＳ Ｐゴシック"/>
        <family val="3"/>
        <charset val="128"/>
        <scheme val="minor"/>
      </rPr>
      <t>俊奇</t>
    </r>
  </si>
  <si>
    <r>
      <t xml:space="preserve">葡萄酒; 黄酒; 开胃酒; 清酒（日本米酒）; 果酒（含酒精）; 白酒;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</t>
    </r>
  </si>
  <si>
    <t>同唐烟火</t>
  </si>
  <si>
    <r>
      <t>寿</t>
    </r>
    <r>
      <rPr>
        <sz val="11"/>
        <color theme="1"/>
        <rFont val="ＭＳ Ｐゴシック"/>
        <family val="3"/>
        <charset val="134"/>
        <scheme val="minor"/>
      </rPr>
      <t>尔</t>
    </r>
    <r>
      <rPr>
        <sz val="11"/>
        <color theme="1"/>
        <rFont val="ＭＳ Ｐゴシック"/>
        <family val="3"/>
        <charset val="128"/>
        <scheme val="minor"/>
      </rPr>
      <t>均</t>
    </r>
  </si>
  <si>
    <r>
      <t xml:space="preserve">酸酒（低等葡萄酒）;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蒸煮提取物（利口酒和烈酒）; 米酒; 果酒（含酒精）</t>
    </r>
  </si>
  <si>
    <t>威可倍力</t>
  </si>
  <si>
    <r>
      <t>吉林生</t>
    </r>
    <r>
      <rPr>
        <sz val="11"/>
        <color theme="1"/>
        <rFont val="ＭＳ Ｐゴシック"/>
        <family val="3"/>
        <charset val="134"/>
        <scheme val="minor"/>
      </rPr>
      <t>码</t>
    </r>
    <r>
      <rPr>
        <sz val="11"/>
        <color theme="1"/>
        <rFont val="ＭＳ Ｐゴシック"/>
        <family val="3"/>
        <charset val="128"/>
        <scheme val="minor"/>
      </rPr>
      <t>大健康</t>
    </r>
    <r>
      <rPr>
        <sz val="11"/>
        <color theme="1"/>
        <rFont val="ＭＳ Ｐゴシック"/>
        <family val="3"/>
        <charset val="134"/>
        <scheme val="minor"/>
      </rPr>
      <t>产业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</si>
  <si>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汽酒; 果酒（含酒精）; 米酒; 清酒（日本米酒）; 黄酒; 白酒; 开胃酒;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</si>
  <si>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何御</t>
    </r>
    <r>
      <rPr>
        <sz val="11"/>
        <color theme="1"/>
        <rFont val="ＭＳ Ｐゴシック"/>
        <family val="3"/>
        <charset val="134"/>
        <scheme val="minor"/>
      </rPr>
      <t>师</t>
    </r>
  </si>
  <si>
    <r>
      <t>上海巽昕医</t>
    </r>
    <r>
      <rPr>
        <sz val="11"/>
        <color theme="1"/>
        <rFont val="ＭＳ Ｐゴシック"/>
        <family val="3"/>
        <charset val="134"/>
        <scheme val="minor"/>
      </rPr>
      <t>药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</si>
  <si>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 xml:space="preserve">果酒（含酒精）;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酒（烈酒）; 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清酒（日本米酒）; 烈酒; 米酒; 黄酒; 白酒</t>
    </r>
  </si>
  <si>
    <r>
      <t>时</t>
    </r>
    <r>
      <rPr>
        <sz val="11"/>
        <color theme="1"/>
        <rFont val="ＭＳ Ｐゴシック"/>
        <family val="3"/>
        <charset val="128"/>
        <scheme val="minor"/>
      </rPr>
      <t>来金</t>
    </r>
    <r>
      <rPr>
        <sz val="11"/>
        <color theme="1"/>
        <rFont val="ＭＳ Ｐゴシック"/>
        <family val="3"/>
        <charset val="134"/>
        <scheme val="minor"/>
      </rPr>
      <t>蕴</t>
    </r>
  </si>
  <si>
    <r>
      <t>西安国秦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</si>
  <si>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威士忌;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开胃酒; 米酒;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</si>
  <si>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多</t>
    </r>
    <r>
      <rPr>
        <sz val="11"/>
        <color theme="1"/>
        <rFont val="ＭＳ Ｐゴシック"/>
        <family val="3"/>
        <charset val="134"/>
        <scheme val="minor"/>
      </rPr>
      <t>乐鸟</t>
    </r>
  </si>
  <si>
    <r>
      <t>宁波多</t>
    </r>
    <r>
      <rPr>
        <sz val="11"/>
        <color theme="1"/>
        <rFont val="ＭＳ Ｐゴシック"/>
        <family val="3"/>
        <charset val="134"/>
        <scheme val="minor"/>
      </rPr>
      <t>乐鸟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</si>
  <si>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葡萄酒;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</si>
  <si>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陈</t>
    </r>
    <r>
      <rPr>
        <sz val="11"/>
        <color theme="1"/>
        <rFont val="ＭＳ Ｐゴシック"/>
        <family val="3"/>
        <charset val="128"/>
        <scheme val="minor"/>
      </rPr>
      <t>氏太极和气</t>
    </r>
  </si>
  <si>
    <r>
      <t>米酒;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开胃酒;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蒸煮提取物（利口酒和烈酒）; 白酒</t>
    </r>
  </si>
  <si>
    <r>
      <t>飘</t>
    </r>
    <r>
      <rPr>
        <sz val="11"/>
        <color theme="1"/>
        <rFont val="ＭＳ Ｐゴシック"/>
        <family val="3"/>
        <charset val="128"/>
        <scheme val="minor"/>
      </rPr>
      <t>香溯源</t>
    </r>
  </si>
  <si>
    <r>
      <t>果酒（含酒精）; 苦味酒;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白酒; 蒸煮提取物（利口酒和烈酒）;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食用酒精; 利口酒;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</si>
  <si>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龙</t>
    </r>
    <r>
      <rPr>
        <sz val="11"/>
        <color theme="1"/>
        <rFont val="ＭＳ Ｐゴシック"/>
        <family val="3"/>
        <charset val="128"/>
        <scheme val="minor"/>
      </rPr>
      <t>之</t>
    </r>
    <r>
      <rPr>
        <sz val="11"/>
        <color theme="1"/>
        <rFont val="ＭＳ Ｐゴシック"/>
        <family val="3"/>
        <charset val="134"/>
        <scheme val="minor"/>
      </rPr>
      <t>铠</t>
    </r>
    <r>
      <rPr>
        <sz val="11"/>
        <color theme="1"/>
        <rFont val="ＭＳ Ｐゴシック"/>
        <family val="3"/>
        <charset val="128"/>
        <scheme val="minor"/>
      </rPr>
      <t>甲</t>
    </r>
  </si>
  <si>
    <r>
      <t>苦味酒;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利口酒; 食用酒精; 蒸煮提取物（利口酒和烈酒）;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</si>
  <si>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音浪短</t>
    </r>
    <r>
      <rPr>
        <sz val="11"/>
        <color theme="1"/>
        <rFont val="ＭＳ Ｐゴシック"/>
        <family val="3"/>
        <charset val="134"/>
        <scheme val="minor"/>
      </rPr>
      <t>视频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</si>
  <si>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开胃酒; 米酒;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葡萄酒</t>
    </r>
  </si>
  <si>
    <t>芳橡</t>
  </si>
  <si>
    <r>
      <t>食用酒精; 果酒（含酒精）; 苦味酒;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葡萄酒; 利口酒; 蒸煮提取物（利口酒和烈酒）;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</si>
  <si>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r>
      <t>东</t>
    </r>
    <r>
      <rPr>
        <sz val="11"/>
        <color theme="1"/>
        <rFont val="ＭＳ Ｐゴシック"/>
        <family val="3"/>
        <charset val="128"/>
        <scheme val="minor"/>
      </rPr>
      <t>信尹氏</t>
    </r>
  </si>
  <si>
    <t>尹国富</t>
  </si>
  <si>
    <r>
      <t xml:space="preserve">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白酒; 清酒（日本米酒）; 葡萄酒; 开胃酒;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</si>
  <si>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益多拿</t>
  </si>
  <si>
    <r>
      <t>辽</t>
    </r>
    <r>
      <rPr>
        <sz val="11"/>
        <color theme="1"/>
        <rFont val="ＭＳ Ｐゴシック"/>
        <family val="3"/>
        <charset val="128"/>
        <scheme val="minor"/>
      </rPr>
      <t>宁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狐</t>
    </r>
    <r>
      <rPr>
        <sz val="11"/>
        <color theme="1"/>
        <rFont val="ＭＳ Ｐゴシック"/>
        <family val="3"/>
        <charset val="134"/>
        <scheme val="minor"/>
      </rPr>
      <t>飞</t>
    </r>
    <r>
      <rPr>
        <sz val="11"/>
        <color theme="1"/>
        <rFont val="ＭＳ Ｐゴシック"/>
        <family val="3"/>
        <charset val="128"/>
        <scheme val="minor"/>
      </rPr>
      <t>兔商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</si>
  <si>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葡萄酒; 利口酒; 清酒; 烈酒;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伏特加酒; 威士忌; 果酒; 米酒; 白酒</t>
    </r>
  </si>
  <si>
    <r>
      <t>鑫</t>
    </r>
    <r>
      <rPr>
        <sz val="11"/>
        <color theme="1"/>
        <rFont val="ＭＳ Ｐゴシック"/>
        <family val="3"/>
        <charset val="134"/>
        <scheme val="minor"/>
      </rPr>
      <t>农</t>
    </r>
    <r>
      <rPr>
        <sz val="11"/>
        <color theme="1"/>
        <rFont val="ＭＳ Ｐゴシック"/>
        <family val="3"/>
        <charset val="128"/>
        <scheme val="minor"/>
      </rPr>
      <t>歌</t>
    </r>
  </si>
  <si>
    <r>
      <t>哈密市新</t>
    </r>
    <r>
      <rPr>
        <sz val="11"/>
        <color theme="1"/>
        <rFont val="ＭＳ Ｐゴシック"/>
        <family val="3"/>
        <charset val="134"/>
        <scheme val="minor"/>
      </rPr>
      <t>农</t>
    </r>
    <r>
      <rPr>
        <sz val="11"/>
        <color theme="1"/>
        <rFont val="ＭＳ Ｐゴシック"/>
        <family val="3"/>
        <charset val="128"/>
        <scheme val="minor"/>
      </rPr>
      <t>歌</t>
    </r>
    <r>
      <rPr>
        <sz val="11"/>
        <color theme="1"/>
        <rFont val="ＭＳ Ｐゴシック"/>
        <family val="3"/>
        <charset val="134"/>
        <scheme val="minor"/>
      </rPr>
      <t>农产</t>
    </r>
    <r>
      <rPr>
        <sz val="11"/>
        <color theme="1"/>
        <rFont val="ＭＳ Ｐゴシック"/>
        <family val="3"/>
        <charset val="128"/>
        <scheme val="minor"/>
      </rPr>
      <t>品</t>
    </r>
    <r>
      <rPr>
        <sz val="11"/>
        <color theme="1"/>
        <rFont val="ＭＳ Ｐゴシック"/>
        <family val="3"/>
        <charset val="134"/>
        <scheme val="minor"/>
      </rPr>
      <t>农</t>
    </r>
    <r>
      <rPr>
        <sz val="11"/>
        <color theme="1"/>
        <rFont val="ＭＳ Ｐゴシック"/>
        <family val="3"/>
        <charset val="128"/>
        <scheme val="minor"/>
      </rPr>
      <t>民</t>
    </r>
    <r>
      <rPr>
        <sz val="11"/>
        <color theme="1"/>
        <rFont val="ＭＳ Ｐゴシック"/>
        <family val="3"/>
        <charset val="134"/>
        <scheme val="minor"/>
      </rPr>
      <t>专业</t>
    </r>
    <r>
      <rPr>
        <sz val="11"/>
        <color theme="1"/>
        <rFont val="ＭＳ Ｐゴシック"/>
        <family val="3"/>
        <charset val="128"/>
        <scheme val="minor"/>
      </rPr>
      <t>合作社</t>
    </r>
  </si>
  <si>
    <r>
      <t>汽酒;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果酒; 葡萄酒; 餐后酒（利口酒和烈酒）; 米酒; 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</si>
  <si>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海</t>
    </r>
    <r>
      <rPr>
        <sz val="11"/>
        <color theme="1"/>
        <rFont val="ＭＳ Ｐゴシック"/>
        <family val="3"/>
        <charset val="134"/>
        <scheme val="minor"/>
      </rPr>
      <t>妈</t>
    </r>
    <r>
      <rPr>
        <sz val="11"/>
        <color theme="1"/>
        <rFont val="ＭＳ Ｐゴシック"/>
        <family val="3"/>
        <charset val="128"/>
        <scheme val="minor"/>
      </rPr>
      <t>家</t>
    </r>
  </si>
  <si>
    <r>
      <t>顾</t>
    </r>
    <r>
      <rPr>
        <sz val="11"/>
        <color theme="1"/>
        <rFont val="ＭＳ Ｐゴシック"/>
        <family val="3"/>
        <charset val="128"/>
        <scheme val="minor"/>
      </rPr>
      <t>雪春</t>
    </r>
  </si>
  <si>
    <r>
      <t>开胃酒; 黄酒; 薄荷酒; 米酒; 清酒; 茴芹酒（利口酒）;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葡萄酒; 利口酒</t>
    </r>
  </si>
  <si>
    <r>
      <t>陈</t>
    </r>
    <r>
      <rPr>
        <sz val="11"/>
        <color theme="1"/>
        <rFont val="ＭＳ Ｐゴシック"/>
        <family val="3"/>
        <charset val="128"/>
        <scheme val="minor"/>
      </rPr>
      <t>氏太极和美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</si>
  <si>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蒸煮提取物（利口酒和烈酒）;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开胃酒; 果酒（含酒精）</t>
    </r>
  </si>
  <si>
    <t>新峰黔星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</si>
  <si>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州清峰品牌管理有限公司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</si>
  <si>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威士忌; 朗姆酒; 果酒（含酒精）; 黄酒; 白酒; 葡萄酒; 食用酒精; 伏特加酒;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</si>
  <si>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鸡鸣</t>
    </r>
    <r>
      <rPr>
        <sz val="11"/>
        <color theme="1"/>
        <rFont val="ＭＳ Ｐゴシック"/>
        <family val="3"/>
        <charset val="128"/>
        <scheme val="minor"/>
      </rPr>
      <t>城</t>
    </r>
  </si>
  <si>
    <r>
      <t>张</t>
    </r>
    <r>
      <rPr>
        <sz val="11"/>
        <color theme="1"/>
        <rFont val="ＭＳ Ｐゴシック"/>
        <family val="3"/>
        <charset val="128"/>
        <scheme val="minor"/>
      </rPr>
      <t>家口盛世</t>
    </r>
    <r>
      <rPr>
        <sz val="11"/>
        <color theme="1"/>
        <rFont val="ＭＳ Ｐゴシック"/>
        <family val="3"/>
        <charset val="134"/>
        <scheme val="minor"/>
      </rPr>
      <t>长</t>
    </r>
    <r>
      <rPr>
        <sz val="11"/>
        <color theme="1"/>
        <rFont val="ＭＳ Ｐゴシック"/>
        <family val="3"/>
        <charset val="128"/>
        <scheme val="minor"/>
      </rPr>
      <t>城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酒有限公司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</si>
  <si>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汽酒;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果酒（含酒精）;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黄酒</t>
    </r>
  </si>
  <si>
    <t>冰唱</t>
  </si>
  <si>
    <r>
      <t>厦</t>
    </r>
    <r>
      <rPr>
        <sz val="11"/>
        <color theme="1"/>
        <rFont val="ＭＳ Ｐゴシック"/>
        <family val="3"/>
        <charset val="134"/>
        <scheme val="minor"/>
      </rPr>
      <t>门</t>
    </r>
    <r>
      <rPr>
        <sz val="11"/>
        <color theme="1"/>
        <rFont val="ＭＳ Ｐゴシック"/>
        <family val="3"/>
        <charset val="128"/>
        <scheme val="minor"/>
      </rPr>
      <t>辛巴餐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</si>
  <si>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葡萄酒; 果酒（含酒精）; 白酒;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清酒（日本米酒）; 高粱酒;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</t>
    </r>
  </si>
  <si>
    <r>
      <t>禾美</t>
    </r>
    <r>
      <rPr>
        <sz val="11"/>
        <color theme="1"/>
        <rFont val="ＭＳ Ｐゴシック"/>
        <family val="3"/>
        <charset val="134"/>
        <scheme val="minor"/>
      </rPr>
      <t>艺乡</t>
    </r>
  </si>
  <si>
    <r>
      <t>匡</t>
    </r>
    <r>
      <rPr>
        <sz val="11"/>
        <color theme="1"/>
        <rFont val="ＭＳ Ｐゴシック"/>
        <family val="3"/>
        <charset val="134"/>
        <scheme val="minor"/>
      </rPr>
      <t>义顺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</si>
  <si>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梅酒;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酒; 黄酒; 食用酒精; 葡萄酒;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青稞酒</t>
    </r>
  </si>
  <si>
    <r>
      <t>陈</t>
    </r>
    <r>
      <rPr>
        <sz val="11"/>
        <color theme="1"/>
        <rFont val="ＭＳ Ｐゴシック"/>
        <family val="3"/>
        <charset val="128"/>
        <scheme val="minor"/>
      </rPr>
      <t>氏太极天地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</si>
  <si>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葡萄酒; 蒸煮提取物（利口酒和烈酒）;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开胃酒;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</t>
    </r>
  </si>
  <si>
    <t>DTG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</si>
  <si>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白酒; 葡萄酒; 蒸煮提取物（利口酒和烈酒）; 苦味酒;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食用酒精; 利口酒</t>
    </r>
  </si>
  <si>
    <r>
      <t>普</t>
    </r>
    <r>
      <rPr>
        <sz val="11"/>
        <color theme="1"/>
        <rFont val="ＭＳ Ｐゴシック"/>
        <family val="3"/>
        <charset val="134"/>
        <scheme val="minor"/>
      </rPr>
      <t>伟</t>
    </r>
    <r>
      <rPr>
        <sz val="11"/>
        <color theme="1"/>
        <rFont val="ＭＳ Ｐゴシック"/>
        <family val="3"/>
        <charset val="128"/>
        <scheme val="minor"/>
      </rPr>
      <t>特</t>
    </r>
  </si>
  <si>
    <r>
      <t>深圳良品私域科技服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</si>
  <si>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果酒;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黄酒; 葡萄酒</t>
    </r>
  </si>
  <si>
    <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果酒（含酒精）; 伏特加酒;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白酒;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</t>
    </r>
  </si>
  <si>
    <r>
      <t>卟</t>
    </r>
    <r>
      <rPr>
        <sz val="11"/>
        <color theme="1"/>
        <rFont val="ＭＳ Ｐゴシック"/>
        <family val="3"/>
        <charset val="128"/>
        <scheme val="minor"/>
      </rPr>
      <t>享</t>
    </r>
    <r>
      <rPr>
        <sz val="11"/>
        <color theme="1"/>
        <rFont val="ＭＳ Ｐゴシック"/>
        <family val="3"/>
        <charset val="134"/>
        <scheme val="minor"/>
      </rPr>
      <t>卟</t>
    </r>
    <r>
      <rPr>
        <sz val="11"/>
        <color theme="1"/>
        <rFont val="ＭＳ Ｐゴシック"/>
        <family val="3"/>
        <charset val="128"/>
        <scheme val="minor"/>
      </rPr>
      <t>租</t>
    </r>
  </si>
  <si>
    <r>
      <t>薄荷酒;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开胃酒; 米酒; 伏特加酒;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威士忌</t>
    </r>
  </si>
  <si>
    <r>
      <t>浓</t>
    </r>
    <r>
      <rPr>
        <sz val="11"/>
        <color theme="1"/>
        <rFont val="ＭＳ Ｐゴシック"/>
        <family val="3"/>
        <charset val="128"/>
        <scheme val="minor"/>
      </rPr>
      <t>橡</t>
    </r>
  </si>
  <si>
    <r>
      <t>果酒（含酒精）; 葡萄酒; 利口酒; 苦味酒;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蒸煮提取物（利口酒和烈酒）;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</si>
  <si>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仙山九</t>
    </r>
    <r>
      <rPr>
        <sz val="11"/>
        <color theme="1"/>
        <rFont val="ＭＳ Ｐゴシック"/>
        <family val="3"/>
        <charset val="134"/>
        <scheme val="minor"/>
      </rPr>
      <t>华</t>
    </r>
  </si>
  <si>
    <r>
      <t>易</t>
    </r>
    <r>
      <rPr>
        <sz val="11"/>
        <color theme="1"/>
        <rFont val="ＭＳ Ｐゴシック"/>
        <family val="3"/>
        <charset val="134"/>
        <scheme val="minor"/>
      </rPr>
      <t>县结</t>
    </r>
    <r>
      <rPr>
        <sz val="11"/>
        <color theme="1"/>
        <rFont val="ＭＳ Ｐゴシック"/>
        <family val="3"/>
        <charset val="128"/>
        <scheme val="minor"/>
      </rPr>
      <t>伴儿企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</si>
  <si>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开胃酒;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薄荷酒; 威士忌; 白酒; 黄酒</t>
    </r>
  </si>
  <si>
    <t>CO</t>
  </si>
  <si>
    <r>
      <t>杰克</t>
    </r>
    <r>
      <rPr>
        <sz val="11"/>
        <color theme="1"/>
        <rFont val="ＭＳ Ｐゴシック"/>
        <family val="3"/>
        <charset val="134"/>
        <scheme val="minor"/>
      </rPr>
      <t>维尔时</t>
    </r>
    <r>
      <rPr>
        <sz val="11"/>
        <color theme="1"/>
        <rFont val="ＭＳ Ｐゴシック"/>
        <family val="3"/>
        <charset val="128"/>
        <scheme val="minor"/>
      </rPr>
      <t>尚有限公司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</si>
  <si>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青稞酒; 黄酒; 利口酒;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葡萄酒; 清酒（日本米酒）; 白酒</t>
    </r>
  </si>
  <si>
    <t>老味村</t>
  </si>
  <si>
    <t>袁燕子</t>
  </si>
  <si>
    <t>葡萄酒; 清酒; 白酒; 食用酒精; 汽酒; 果酒; 甜酒; 黄酒; 开胃酒; 米酒</t>
  </si>
  <si>
    <t>蜜尾</t>
  </si>
  <si>
    <r>
      <t>广西</t>
    </r>
    <r>
      <rPr>
        <sz val="11"/>
        <color theme="1"/>
        <rFont val="ＭＳ Ｐゴシック"/>
        <family val="3"/>
        <charset val="134"/>
        <scheme val="minor"/>
      </rPr>
      <t>铧</t>
    </r>
    <r>
      <rPr>
        <sz val="11"/>
        <color theme="1"/>
        <rFont val="ＭＳ Ｐゴシック"/>
        <family val="3"/>
        <charset val="128"/>
        <scheme val="minor"/>
      </rPr>
      <t>鑫科技有限公司</t>
    </r>
  </si>
  <si>
    <r>
      <t xml:space="preserve">梨酒; 米酒; 高粱酒; 烈酒; 甜果酒; 白酒; 葡萄酒; 伏特加酒;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</si>
  <si>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柳</t>
    </r>
    <r>
      <rPr>
        <sz val="11"/>
        <color theme="1"/>
        <rFont val="ＭＳ Ｐゴシック"/>
        <family val="3"/>
        <charset val="134"/>
        <scheme val="minor"/>
      </rPr>
      <t>澜</t>
    </r>
    <r>
      <rPr>
        <sz val="11"/>
        <color theme="1"/>
        <rFont val="ＭＳ Ｐゴシック"/>
        <family val="3"/>
        <charset val="128"/>
        <scheme val="minor"/>
      </rPr>
      <t>菲</t>
    </r>
    <r>
      <rPr>
        <sz val="11"/>
        <color theme="1"/>
        <rFont val="ＭＳ Ｐゴシック"/>
        <family val="3"/>
        <charset val="134"/>
        <scheme val="minor"/>
      </rPr>
      <t>龙</t>
    </r>
  </si>
  <si>
    <t>覃建珍</t>
  </si>
  <si>
    <r>
      <t>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黄酒; 食用酒精; 白酒;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</si>
  <si>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广埃</t>
  </si>
  <si>
    <r>
      <t>东</t>
    </r>
    <r>
      <rPr>
        <sz val="11"/>
        <color theme="1"/>
        <rFont val="ＭＳ Ｐゴシック"/>
        <family val="3"/>
        <charset val="128"/>
        <scheme val="minor"/>
      </rPr>
      <t>莞市广埃企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</si>
  <si>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威士忌;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黄酒; 高粱酒; 白酒; 白干酒（中国白酒）;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</t>
    </r>
  </si>
  <si>
    <t>唯80古藤</t>
  </si>
  <si>
    <r>
      <t>烟台公全商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</si>
  <si>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威士忌;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朗姆酒; 梅酒; 甜酒; 葡萄酒; 奶油利口酒; 加香料的</t>
    </r>
    <r>
      <rPr>
        <sz val="11"/>
        <color theme="1"/>
        <rFont val="ＭＳ Ｐゴシック"/>
        <family val="3"/>
        <charset val="134"/>
        <scheme val="minor"/>
      </rPr>
      <t>热</t>
    </r>
    <r>
      <rPr>
        <sz val="11"/>
        <color theme="1"/>
        <rFont val="ＭＳ Ｐゴシック"/>
        <family val="3"/>
        <charset val="128"/>
        <scheme val="minor"/>
      </rPr>
      <t>葡萄酒; 加烈葡萄酒</t>
    </r>
  </si>
  <si>
    <t>酣匠君</t>
  </si>
  <si>
    <t>刘玲</t>
  </si>
  <si>
    <r>
      <t>白酒; 果酒（含酒精）; 伏特加酒;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青稞酒; 梨酒;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</si>
  <si>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t>酒州符号</t>
  </si>
  <si>
    <r>
      <t>王元</t>
    </r>
    <r>
      <rPr>
        <sz val="11"/>
        <color theme="1"/>
        <rFont val="ＭＳ Ｐゴシック"/>
        <family val="3"/>
        <charset val="134"/>
        <scheme val="minor"/>
      </rPr>
      <t>东</t>
    </r>
  </si>
  <si>
    <r>
      <t>葡萄酒; 白酒; 清酒（日本米酒）; 米酒; 白干酒（中国白酒）;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高粱酒;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</si>
  <si>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冰小淘</t>
  </si>
  <si>
    <r>
      <t>新疆兵二十四葡萄酒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</si>
  <si>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开胃酒; 餐后酒（利口酒和烈酒）;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清酒（日本米酒）;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</t>
    </r>
  </si>
  <si>
    <r>
      <t>饮华</t>
    </r>
    <r>
      <rPr>
        <sz val="11"/>
        <color theme="1"/>
        <rFont val="ＭＳ Ｐゴシック"/>
        <family val="3"/>
        <charset val="128"/>
        <scheme val="minor"/>
      </rPr>
      <t>年</t>
    </r>
  </si>
  <si>
    <r>
      <t>胡向</t>
    </r>
    <r>
      <rPr>
        <sz val="11"/>
        <color theme="1"/>
        <rFont val="ＭＳ Ｐゴシック"/>
        <family val="3"/>
        <charset val="134"/>
        <scheme val="minor"/>
      </rPr>
      <t>兴</t>
    </r>
  </si>
  <si>
    <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果酒; 黄酒; 蒸煮提取物（利口酒和烈酒）;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白酒; 开胃酒; 清酒（日本米酒）</t>
    </r>
  </si>
  <si>
    <r>
      <t>维</t>
    </r>
    <r>
      <rPr>
        <sz val="11"/>
        <color theme="1"/>
        <rFont val="ＭＳ Ｐゴシック"/>
        <family val="3"/>
        <charset val="128"/>
        <scheme val="minor"/>
      </rPr>
      <t>高威</t>
    </r>
  </si>
  <si>
    <t>广州星新木科技有限公司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</si>
  <si>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青梅酒; 开胃酒; 米酒; 食用酒精;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葡萄酒; 果酒</t>
    </r>
  </si>
  <si>
    <r>
      <t>萃</t>
    </r>
    <r>
      <rPr>
        <sz val="11"/>
        <color theme="1"/>
        <rFont val="ＭＳ Ｐゴシック"/>
        <family val="3"/>
        <charset val="134"/>
        <scheme val="minor"/>
      </rPr>
      <t>满</t>
    </r>
    <r>
      <rPr>
        <sz val="11"/>
        <color theme="1"/>
        <rFont val="ＭＳ Ｐゴシック"/>
        <family val="3"/>
        <charset val="128"/>
        <scheme val="minor"/>
      </rPr>
      <t>天</t>
    </r>
  </si>
  <si>
    <r>
      <t>昆明滇尚文化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播有限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</si>
  <si>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白酒; 露酒; 米酒; 清酒; 起泡白葡萄酒;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果酒; 黄酒; 开胃酒</t>
    </r>
  </si>
  <si>
    <r>
      <t>德科</t>
    </r>
    <r>
      <rPr>
        <sz val="11"/>
        <color theme="1"/>
        <rFont val="ＭＳ Ｐゴシック"/>
        <family val="3"/>
        <charset val="134"/>
        <scheme val="minor"/>
      </rPr>
      <t>为农</t>
    </r>
  </si>
  <si>
    <r>
      <t>德州市</t>
    </r>
    <r>
      <rPr>
        <sz val="11"/>
        <color theme="1"/>
        <rFont val="ＭＳ Ｐゴシック"/>
        <family val="3"/>
        <charset val="134"/>
        <scheme val="minor"/>
      </rPr>
      <t>农业</t>
    </r>
    <r>
      <rPr>
        <sz val="11"/>
        <color theme="1"/>
        <rFont val="ＭＳ Ｐゴシック"/>
        <family val="3"/>
        <charset val="128"/>
        <scheme val="minor"/>
      </rPr>
      <t>科学研究院</t>
    </r>
  </si>
  <si>
    <r>
      <t xml:space="preserve">葡萄酒; 白酒; 果酒（含酒精）;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清酒（日本米酒）</t>
    </r>
  </si>
  <si>
    <t>久仁和有礼</t>
  </si>
  <si>
    <r>
      <t>浙江</t>
    </r>
    <r>
      <rPr>
        <sz val="11"/>
        <color theme="1"/>
        <rFont val="ＭＳ Ｐゴシック"/>
        <family val="3"/>
        <charset val="134"/>
        <scheme val="minor"/>
      </rPr>
      <t>爱</t>
    </r>
    <r>
      <rPr>
        <sz val="11"/>
        <color theme="1"/>
        <rFont val="ＭＳ Ｐゴシック"/>
        <family val="3"/>
        <charset val="128"/>
        <scheme val="minor"/>
      </rPr>
      <t>草</t>
    </r>
    <r>
      <rPr>
        <sz val="11"/>
        <color theme="1"/>
        <rFont val="ＭＳ Ｐゴシック"/>
        <family val="3"/>
        <charset val="134"/>
        <scheme val="minor"/>
      </rPr>
      <t>时</t>
    </r>
    <r>
      <rPr>
        <sz val="11"/>
        <color theme="1"/>
        <rFont val="ＭＳ Ｐゴシック"/>
        <family val="3"/>
        <charset val="128"/>
        <scheme val="minor"/>
      </rPr>
      <t>珍健康管理有限公司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</si>
  <si>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米酒;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开胃酒; 起泡白葡萄酒; 葡萄酒; 果酒; 蝮蛇酒;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白酒</t>
    </r>
  </si>
  <si>
    <r>
      <t>义</t>
    </r>
    <r>
      <rPr>
        <sz val="11"/>
        <color theme="1"/>
        <rFont val="ＭＳ Ｐゴシック"/>
        <family val="3"/>
        <charset val="128"/>
        <scheme val="minor"/>
      </rPr>
      <t>信</t>
    </r>
    <r>
      <rPr>
        <sz val="11"/>
        <color theme="1"/>
        <rFont val="ＭＳ Ｐゴシック"/>
        <family val="3"/>
        <charset val="134"/>
        <scheme val="minor"/>
      </rPr>
      <t>诚</t>
    </r>
  </si>
  <si>
    <r>
      <t>山西中晋美酒</t>
    </r>
    <r>
      <rPr>
        <sz val="11"/>
        <color theme="1"/>
        <rFont val="ＭＳ Ｐゴシック"/>
        <family val="3"/>
        <charset val="134"/>
        <scheme val="minor"/>
      </rPr>
      <t>业发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</si>
  <si>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 xml:space="preserve">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葡萄酒; 白酒;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米酒（泡盛酒）; 果酒（含酒精）;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</si>
  <si>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唐三宝</t>
  </si>
  <si>
    <t>翟瑶瑶</t>
  </si>
  <si>
    <r>
      <t xml:space="preserve">烈酒;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蒸煮提取物（利口酒和烈酒）;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</si>
  <si>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州王菇娘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</si>
  <si>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开胃酒;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</si>
  <si>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金双清雅</t>
  </si>
  <si>
    <r>
      <t>泗洪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双沟</t>
    </r>
    <r>
      <rPr>
        <sz val="11"/>
        <color theme="1"/>
        <rFont val="ＭＳ Ｐゴシック"/>
        <family val="3"/>
        <charset val="134"/>
        <scheme val="minor"/>
      </rPr>
      <t>镇</t>
    </r>
    <r>
      <rPr>
        <sz val="11"/>
        <color theme="1"/>
        <rFont val="ＭＳ Ｐゴシック"/>
        <family val="3"/>
        <charset val="128"/>
        <scheme val="minor"/>
      </rPr>
      <t>金双酒厂</t>
    </r>
  </si>
  <si>
    <r>
      <t xml:space="preserve">果酒; 白酒; 黄酒;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威士忌; 葡萄酒; 青稞酒; 利口酒;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</si>
  <si>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BINGERSHISI</t>
  </si>
  <si>
    <r>
      <t>白酒; 餐后酒（利口酒和烈酒）;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葡萄酒; 果酒（含酒精）;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</si>
  <si>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合心</t>
    </r>
    <r>
      <rPr>
        <sz val="11"/>
        <color theme="1"/>
        <rFont val="ＭＳ Ｐゴシック"/>
        <family val="3"/>
        <charset val="134"/>
        <scheme val="minor"/>
      </rPr>
      <t>顺</t>
    </r>
  </si>
  <si>
    <r>
      <t>广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数念</t>
    </r>
    <r>
      <rPr>
        <sz val="11"/>
        <color theme="1"/>
        <rFont val="ＭＳ Ｐゴシック"/>
        <family val="3"/>
        <charset val="134"/>
        <scheme val="minor"/>
      </rPr>
      <t>实业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</si>
  <si>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果酒（含酒精）</t>
    </r>
  </si>
  <si>
    <r>
      <t>轩</t>
    </r>
    <r>
      <rPr>
        <sz val="11"/>
        <color theme="1"/>
        <rFont val="ＭＳ Ｐゴシック"/>
        <family val="3"/>
        <charset val="128"/>
        <scheme val="minor"/>
      </rPr>
      <t>越</t>
    </r>
  </si>
  <si>
    <r>
      <t>北京盛泉</t>
    </r>
    <r>
      <rPr>
        <sz val="11"/>
        <color theme="1"/>
        <rFont val="ＭＳ Ｐゴシック"/>
        <family val="3"/>
        <charset val="134"/>
        <scheme val="minor"/>
      </rPr>
      <t>轩</t>
    </r>
    <r>
      <rPr>
        <sz val="11"/>
        <color theme="1"/>
        <rFont val="ＭＳ Ｐゴシック"/>
        <family val="3"/>
        <charset val="128"/>
        <scheme val="minor"/>
      </rPr>
      <t>越文化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</si>
  <si>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 xml:space="preserve">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伏特加酒; 果酒（含酒精）; 白酒;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蒸煮提取物（利口酒和烈酒）;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</si>
  <si>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米嫂子</t>
  </si>
  <si>
    <t>英国信一品有限公司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</si>
  <si>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黄酒; 食用酒精; 白酒; 米酒;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葡萄酒</t>
    </r>
  </si>
  <si>
    <t>聚福巷</t>
  </si>
  <si>
    <t>宋法良</t>
  </si>
  <si>
    <r>
      <t>米酒;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黄酒; 果酒（含酒精）; 葡萄酒; 露酒</t>
    </r>
  </si>
  <si>
    <t>EONCRED</t>
  </si>
  <si>
    <r>
      <t>山</t>
    </r>
    <r>
      <rPr>
        <sz val="11"/>
        <color theme="1"/>
        <rFont val="ＭＳ Ｐゴシック"/>
        <family val="3"/>
        <charset val="134"/>
        <scheme val="minor"/>
      </rPr>
      <t>东亿</t>
    </r>
    <r>
      <rPr>
        <sz val="11"/>
        <color theme="1"/>
        <rFont val="ＭＳ Ｐゴシック"/>
        <family val="3"/>
        <charset val="128"/>
        <scheme val="minor"/>
      </rPr>
      <t>瑞德品牌管理集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</si>
  <si>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葡萄酒; 朗姆酒; 白酒; 伏特加酒; 果酒（含酒精）;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黄酒</t>
    </r>
  </si>
  <si>
    <r>
      <t>爽</t>
    </r>
    <r>
      <rPr>
        <sz val="11"/>
        <color theme="1"/>
        <rFont val="ＭＳ Ｐゴシック"/>
        <family val="3"/>
        <charset val="134"/>
        <scheme val="minor"/>
      </rPr>
      <t>动</t>
    </r>
  </si>
  <si>
    <r>
      <t>王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彩</t>
    </r>
  </si>
  <si>
    <r>
      <t>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汽酒; 白酒;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</t>
    </r>
  </si>
  <si>
    <t>AGEOVA</t>
  </si>
  <si>
    <t>吴君</t>
  </si>
  <si>
    <r>
      <t>米酒; 清酒;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威士忌</t>
    </r>
  </si>
  <si>
    <t>鼎泰恒通</t>
  </si>
  <si>
    <r>
      <t>成都</t>
    </r>
    <r>
      <rPr>
        <sz val="11"/>
        <color theme="1"/>
        <rFont val="ＭＳ Ｐゴシック"/>
        <family val="3"/>
        <charset val="134"/>
        <scheme val="minor"/>
      </rPr>
      <t>风</t>
    </r>
    <r>
      <rPr>
        <sz val="11"/>
        <color theme="1"/>
        <rFont val="ＭＳ Ｐゴシック"/>
        <family val="3"/>
        <charset val="128"/>
        <scheme val="minor"/>
      </rPr>
      <t>古沐</t>
    </r>
    <r>
      <rPr>
        <sz val="11"/>
        <color theme="1"/>
        <rFont val="ＭＳ Ｐゴシック"/>
        <family val="3"/>
        <charset val="134"/>
        <scheme val="minor"/>
      </rPr>
      <t>创</t>
    </r>
    <r>
      <rPr>
        <sz val="11"/>
        <color theme="1"/>
        <rFont val="ＭＳ Ｐゴシック"/>
        <family val="3"/>
        <charset val="128"/>
        <scheme val="minor"/>
      </rPr>
      <t>包装有限公司</t>
    </r>
  </si>
  <si>
    <r>
      <t>果酒（含酒精）; 烈酒;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青稞酒; 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白酒; 葡萄酒; 蒸煮提取物（利口酒和烈酒）; 米酒</t>
    </r>
  </si>
  <si>
    <r>
      <t>福</t>
    </r>
    <r>
      <rPr>
        <sz val="11"/>
        <color theme="1"/>
        <rFont val="ＭＳ Ｐゴシック"/>
        <family val="3"/>
        <charset val="134"/>
        <scheme val="minor"/>
      </rPr>
      <t>龄</t>
    </r>
    <r>
      <rPr>
        <sz val="11"/>
        <color theme="1"/>
        <rFont val="ＭＳ Ｐゴシック"/>
        <family val="3"/>
        <charset val="128"/>
        <scheme val="minor"/>
      </rPr>
      <t>堂</t>
    </r>
  </si>
  <si>
    <r>
      <t>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蒸煮提取物（利口酒和烈酒）; 黄酒; 米酒; 果酒; 白酒; 开胃酒; 葡萄酒</t>
    </r>
  </si>
  <si>
    <t>品晟特匠</t>
  </si>
  <si>
    <r>
      <t>中旭博然建工集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</si>
  <si>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黄酒; 白酒; 果酒（含酒精）;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餐后酒（利口酒和烈酒）;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伏特加酒; 米酒</t>
    </r>
  </si>
  <si>
    <t>古月廊</t>
  </si>
  <si>
    <r>
      <t>福州福盾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</si>
  <si>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白葡萄酒; 高粱酒; 白干酒（中国白酒）; 黄酒; 白酒; 烈酒; 麦芽威士忌;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</si>
  <si>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r>
      <t>凯</t>
    </r>
    <r>
      <rPr>
        <sz val="11"/>
        <color theme="1"/>
        <rFont val="ＭＳ Ｐゴシック"/>
        <family val="3"/>
        <charset val="128"/>
        <scheme val="minor"/>
      </rPr>
      <t>裕天辰</t>
    </r>
  </si>
  <si>
    <r>
      <t>新疆</t>
    </r>
    <r>
      <rPr>
        <sz val="11"/>
        <color theme="1"/>
        <rFont val="ＭＳ Ｐゴシック"/>
        <family val="3"/>
        <charset val="134"/>
        <scheme val="minor"/>
      </rPr>
      <t>凯</t>
    </r>
    <r>
      <rPr>
        <sz val="11"/>
        <color theme="1"/>
        <rFont val="ＭＳ Ｐゴシック"/>
        <family val="3"/>
        <charset val="128"/>
        <scheme val="minor"/>
      </rPr>
      <t>裕天辰商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</si>
  <si>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食用酒精; 伏特加酒;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葡萄酒; 白酒</t>
    </r>
  </si>
  <si>
    <r>
      <t>庆</t>
    </r>
    <r>
      <rPr>
        <sz val="11"/>
        <color theme="1"/>
        <rFont val="ＭＳ Ｐゴシック"/>
        <family val="3"/>
        <charset val="128"/>
        <scheme val="minor"/>
      </rPr>
      <t>君悦</t>
    </r>
  </si>
  <si>
    <r>
      <t>白酒; 威士忌; 葡萄酒;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</si>
  <si>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裕</t>
    </r>
    <r>
      <rPr>
        <sz val="11"/>
        <color theme="1"/>
        <rFont val="ＭＳ Ｐゴシック"/>
        <family val="3"/>
        <charset val="134"/>
        <scheme val="minor"/>
      </rPr>
      <t>庆</t>
    </r>
    <r>
      <rPr>
        <sz val="11"/>
        <color theme="1"/>
        <rFont val="ＭＳ Ｐゴシック"/>
        <family val="3"/>
        <charset val="128"/>
        <scheme val="minor"/>
      </rPr>
      <t>祥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</si>
  <si>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果酒（含酒精）; 威士忌;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</si>
  <si>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蔺阑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</si>
  <si>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白干酒（中国白酒）; 黄酒; 烈酒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果酒（含酒精）; 高粱酒; 白酒; 烈酒;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</si>
  <si>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r>
      <t>喜</t>
    </r>
    <r>
      <rPr>
        <sz val="11"/>
        <color theme="1"/>
        <rFont val="ＭＳ Ｐゴシック"/>
        <family val="3"/>
        <charset val="134"/>
        <scheme val="minor"/>
      </rPr>
      <t>鹊</t>
    </r>
    <r>
      <rPr>
        <sz val="11"/>
        <color theme="1"/>
        <rFont val="ＭＳ Ｐゴシック"/>
        <family val="3"/>
        <charset val="128"/>
        <scheme val="minor"/>
      </rPr>
      <t>九</t>
    </r>
    <r>
      <rPr>
        <sz val="11"/>
        <color theme="1"/>
        <rFont val="ＭＳ Ｐゴシック"/>
        <family val="3"/>
        <charset val="134"/>
        <scheme val="minor"/>
      </rPr>
      <t>华</t>
    </r>
  </si>
  <si>
    <t>共幸科技（深圳）有限公司</t>
  </si>
  <si>
    <r>
      <t>果酒（含酒精）; 白酒; 蜂蜜酒; 酸酒（低等葡萄酒）; 朗姆酒; 米酒; 食用酒精;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</t>
    </r>
  </si>
  <si>
    <t>坤行</t>
  </si>
  <si>
    <r>
      <t xml:space="preserve">白酒; 烈酒;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威士忌; 伏特加酒; 梨酒; 甜果酒; 高粱酒; 葡萄酒</t>
    </r>
  </si>
  <si>
    <t>漠百福</t>
  </si>
  <si>
    <r>
      <t>江西省</t>
    </r>
    <r>
      <rPr>
        <sz val="11"/>
        <color theme="1"/>
        <rFont val="ＭＳ Ｐゴシック"/>
        <family val="3"/>
        <charset val="134"/>
        <scheme val="minor"/>
      </rPr>
      <t>鹰</t>
    </r>
    <r>
      <rPr>
        <sz val="11"/>
        <color theme="1"/>
        <rFont val="ＭＳ Ｐゴシック"/>
        <family val="3"/>
        <charset val="128"/>
        <scheme val="minor"/>
      </rPr>
      <t>潭市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虎山旅游</t>
    </r>
    <r>
      <rPr>
        <sz val="11"/>
        <color theme="1"/>
        <rFont val="ＭＳ Ｐゴシック"/>
        <family val="3"/>
        <charset val="134"/>
        <scheme val="minor"/>
      </rPr>
      <t>产</t>
    </r>
    <r>
      <rPr>
        <sz val="11"/>
        <color theme="1"/>
        <rFont val="ＭＳ Ｐゴシック"/>
        <family val="3"/>
        <charset val="128"/>
        <scheme val="minor"/>
      </rPr>
      <t>品开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</si>
  <si>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的白酒;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酒（烈酒）; 白干酒（中国白酒）;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烈酒; 五加皮酒（中国混合烈酒）;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刺五加酒;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</si>
  <si>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r>
      <t>丽诺</t>
    </r>
    <r>
      <rPr>
        <sz val="11"/>
        <color theme="1"/>
        <rFont val="ＭＳ Ｐゴシック"/>
        <family val="3"/>
        <charset val="128"/>
        <scheme val="minor"/>
      </rPr>
      <t>克</t>
    </r>
  </si>
  <si>
    <t>李善文</t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</si>
  <si>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米酒; 果酒（含酒精）; 黄酒; 威士忌; 清酒（日本米酒）; 伏特加酒;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白干酒（中国白酒）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</si>
  <si>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家</t>
    </r>
    <r>
      <rPr>
        <sz val="11"/>
        <color theme="1"/>
        <rFont val="ＭＳ Ｐゴシック"/>
        <family val="3"/>
        <charset val="134"/>
        <scheme val="minor"/>
      </rPr>
      <t>华</t>
    </r>
  </si>
  <si>
    <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蒸煮提取物（利口酒和烈酒）; 米酒; 黄酒; 白酒;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果酒; 清酒（日本米酒）</t>
    </r>
  </si>
  <si>
    <r>
      <t>瑞源百</t>
    </r>
    <r>
      <rPr>
        <sz val="11"/>
        <color theme="1"/>
        <rFont val="ＭＳ Ｐゴシック"/>
        <family val="3"/>
        <charset val="134"/>
        <scheme val="minor"/>
      </rPr>
      <t>岁</t>
    </r>
    <r>
      <rPr>
        <sz val="11"/>
        <color theme="1"/>
        <rFont val="ＭＳ Ｐゴシック"/>
        <family val="3"/>
        <charset val="128"/>
        <scheme val="minor"/>
      </rPr>
      <t>康</t>
    </r>
  </si>
  <si>
    <t>福建瑞源谷健康科技有限公司</t>
  </si>
  <si>
    <r>
      <t>利口酒;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米酒;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</t>
    </r>
  </si>
  <si>
    <t>KINGLIKEFABRARE</t>
  </si>
  <si>
    <r>
      <t>安徽省</t>
    </r>
    <r>
      <rPr>
        <sz val="11"/>
        <color theme="1"/>
        <rFont val="ＭＳ Ｐゴシック"/>
        <family val="3"/>
        <charset val="134"/>
        <scheme val="minor"/>
      </rPr>
      <t>凯</t>
    </r>
    <r>
      <rPr>
        <sz val="11"/>
        <color theme="1"/>
        <rFont val="ＭＳ Ｐゴシック"/>
        <family val="3"/>
        <charset val="128"/>
        <scheme val="minor"/>
      </rPr>
      <t>鄀服</t>
    </r>
    <r>
      <rPr>
        <sz val="11"/>
        <color theme="1"/>
        <rFont val="ＭＳ Ｐゴシック"/>
        <family val="3"/>
        <charset val="134"/>
        <scheme val="minor"/>
      </rPr>
      <t>饰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</si>
  <si>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果酒;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清酒（日本米酒）; 汽酒; 黄酒; 白酒</t>
    </r>
  </si>
  <si>
    <t>众仁和有礼</t>
  </si>
  <si>
    <r>
      <t xml:space="preserve">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米酒; 蝮蛇酒; 开胃酒; 起泡白葡萄酒; 白酒;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</si>
  <si>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汉</t>
    </r>
    <r>
      <rPr>
        <sz val="11"/>
        <color theme="1"/>
        <rFont val="ＭＳ Ｐゴシック"/>
        <family val="3"/>
        <charset val="128"/>
        <scheme val="minor"/>
      </rPr>
      <t>守正</t>
    </r>
  </si>
  <si>
    <t>曾玉琴</t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</si>
  <si>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威士忌;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</si>
  <si>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程雅</t>
  </si>
  <si>
    <r>
      <t>石家庄林</t>
    </r>
    <r>
      <rPr>
        <sz val="11"/>
        <color theme="1"/>
        <rFont val="ＭＳ Ｐゴシック"/>
        <family val="3"/>
        <charset val="134"/>
        <scheme val="minor"/>
      </rPr>
      <t>飒</t>
    </r>
    <r>
      <rPr>
        <sz val="11"/>
        <color theme="1"/>
        <rFont val="ＭＳ Ｐゴシック"/>
        <family val="3"/>
        <charset val="128"/>
        <scheme val="minor"/>
      </rPr>
      <t>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</si>
  <si>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开胃酒;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蜂蜜酒; 白酒; 葡萄酒; 米酒; 果酒（含酒精）; 威士忌;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</si>
  <si>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子牙哥</t>
  </si>
  <si>
    <r>
      <t>利</t>
    </r>
    <r>
      <rPr>
        <sz val="11"/>
        <color theme="1"/>
        <rFont val="ＭＳ Ｐゴシック"/>
        <family val="3"/>
        <charset val="134"/>
        <scheme val="minor"/>
      </rPr>
      <t>权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</si>
  <si>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白酒;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果酒（含酒精）; 黄酒; 葡萄酒</t>
    </r>
  </si>
  <si>
    <r>
      <t>九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喜</t>
    </r>
    <r>
      <rPr>
        <sz val="11"/>
        <color theme="1"/>
        <rFont val="ＭＳ Ｐゴシック"/>
        <family val="3"/>
        <charset val="134"/>
        <scheme val="minor"/>
      </rPr>
      <t>鹊</t>
    </r>
  </si>
  <si>
    <r>
      <t>朗姆酒; 果酒（含酒精）; 威士忌; 白酒; 食用酒精; 酸酒（低等葡萄酒）; 米酒; 蜂蜜酒;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</si>
  <si>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蕲</t>
    </r>
    <r>
      <rPr>
        <sz val="11"/>
        <color theme="1"/>
        <rFont val="ＭＳ Ｐゴシック"/>
        <family val="3"/>
        <charset val="128"/>
        <scheme val="minor"/>
      </rPr>
      <t>享臻</t>
    </r>
    <r>
      <rPr>
        <sz val="11"/>
        <color theme="1"/>
        <rFont val="ＭＳ Ｐゴシック"/>
        <family val="3"/>
        <charset val="134"/>
        <scheme val="minor"/>
      </rPr>
      <t>选</t>
    </r>
  </si>
  <si>
    <r>
      <t>宿州卓康</t>
    </r>
    <r>
      <rPr>
        <sz val="11"/>
        <color theme="1"/>
        <rFont val="ＭＳ Ｐゴシック"/>
        <family val="3"/>
        <charset val="134"/>
        <scheme val="minor"/>
      </rPr>
      <t>实业</t>
    </r>
    <r>
      <rPr>
        <sz val="11"/>
        <color theme="1"/>
        <rFont val="ＭＳ Ｐゴシック"/>
        <family val="3"/>
        <charset val="128"/>
        <scheme val="minor"/>
      </rPr>
      <t>用品有限公司</t>
    </r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</si>
  <si>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茴芹酒（利口酒）; 蒸煮提取物（利口酒和烈酒）; 苦味酒; 青稞酒;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烈酒; 葡萄酒</t>
    </r>
  </si>
  <si>
    <t>缿</t>
  </si>
  <si>
    <r>
      <t>广州智盛</t>
    </r>
    <r>
      <rPr>
        <sz val="11"/>
        <color theme="1"/>
        <rFont val="ＭＳ Ｐゴシック"/>
        <family val="3"/>
        <charset val="134"/>
        <scheme val="minor"/>
      </rPr>
      <t>赢</t>
    </r>
    <r>
      <rPr>
        <sz val="11"/>
        <color theme="1"/>
        <rFont val="ＭＳ Ｐゴシック"/>
        <family val="3"/>
        <charset val="128"/>
        <scheme val="minor"/>
      </rPr>
      <t>美文化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播有限公司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</si>
  <si>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黄酒; 梅酒; 清酒; 威士忌;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含酒精的气泡水;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白酒; 米酒; 果酒（含酒精）</t>
    </r>
  </si>
  <si>
    <r>
      <t>华</t>
    </r>
    <r>
      <rPr>
        <sz val="11"/>
        <color theme="1"/>
        <rFont val="ＭＳ Ｐゴシック"/>
        <family val="3"/>
        <charset val="128"/>
        <scheme val="minor"/>
      </rPr>
      <t>清潭</t>
    </r>
  </si>
  <si>
    <t>沈阳</t>
  </si>
  <si>
    <r>
      <t>葡萄酒;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白干酒（中国白酒）; 甜果酒;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清酒</t>
    </r>
  </si>
  <si>
    <t>展百味</t>
  </si>
  <si>
    <r>
      <t>深圳市万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商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</si>
  <si>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清酒（日本米酒）; 果酒（含酒精）;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食用酒精</t>
    </r>
  </si>
  <si>
    <t>奎章</t>
  </si>
  <si>
    <r>
      <t>葡萄酒; 白酒; 黄酒; 米酒; 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蒸煮提取物（利口酒和烈酒）; 开胃酒; 清酒（日本米酒）</t>
    </r>
  </si>
  <si>
    <t>疆可里里</t>
  </si>
  <si>
    <r>
      <t>阿克</t>
    </r>
    <r>
      <rPr>
        <sz val="11"/>
        <color theme="1"/>
        <rFont val="ＭＳ Ｐゴシック"/>
        <family val="3"/>
        <charset val="134"/>
        <scheme val="minor"/>
      </rPr>
      <t>苏</t>
    </r>
    <r>
      <rPr>
        <sz val="11"/>
        <color theme="1"/>
        <rFont val="ＭＳ Ｐゴシック"/>
        <family val="3"/>
        <charset val="128"/>
        <scheme val="minor"/>
      </rPr>
      <t>念尚干果有限公司</t>
    </r>
  </si>
  <si>
    <r>
      <t>蜂蜜酒; 白酒; 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苹果酒;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汽酒; 梨酒;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</si>
  <si>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米康言</t>
  </si>
  <si>
    <r>
      <t>东</t>
    </r>
    <r>
      <rPr>
        <sz val="11"/>
        <color theme="1"/>
        <rFont val="ＭＳ Ｐゴシック"/>
        <family val="3"/>
        <charset val="128"/>
        <scheme val="minor"/>
      </rPr>
      <t>阳市</t>
    </r>
    <r>
      <rPr>
        <sz val="11"/>
        <color theme="1"/>
        <rFont val="ＭＳ Ｐゴシック"/>
        <family val="3"/>
        <charset val="134"/>
        <scheme val="minor"/>
      </rPr>
      <t>觅</t>
    </r>
    <r>
      <rPr>
        <sz val="11"/>
        <color theme="1"/>
        <rFont val="ＭＳ Ｐゴシック"/>
        <family val="3"/>
        <charset val="128"/>
        <scheme val="minor"/>
      </rPr>
      <t>悦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</si>
  <si>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清酒（日本米酒）;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威士忌; 黄酒; 蜂蜜酒; 开胃酒; 白酒; 葡萄酒</t>
    </r>
  </si>
  <si>
    <t>添然雪域</t>
  </si>
  <si>
    <r>
      <t>成建</t>
    </r>
    <r>
      <rPr>
        <sz val="11"/>
        <color theme="1"/>
        <rFont val="ＭＳ Ｐゴシック"/>
        <family val="3"/>
        <charset val="134"/>
        <scheme val="minor"/>
      </rPr>
      <t>厅</t>
    </r>
  </si>
  <si>
    <t>果酒; 葡萄酒; 汽酒; 米酒; 黄酒; 食用酒精; 甜酒; 白酒; 开胃酒; 清酒</t>
  </si>
  <si>
    <r>
      <t>浙江宸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</si>
  <si>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米酒;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</t>
    </r>
  </si>
  <si>
    <t>柳歌</t>
  </si>
  <si>
    <r>
      <t>果酒（含酒精）;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食用酒精; 白酒;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</si>
  <si>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帝君</t>
    </r>
    <r>
      <rPr>
        <sz val="11"/>
        <color theme="1"/>
        <rFont val="ＭＳ Ｐゴシック"/>
        <family val="3"/>
        <charset val="134"/>
        <scheme val="minor"/>
      </rPr>
      <t>纪</t>
    </r>
  </si>
  <si>
    <t>刘云</t>
  </si>
  <si>
    <r>
      <t xml:space="preserve">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黄酒; 利口酒;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</si>
  <si>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GIRAFA</t>
  </si>
  <si>
    <r>
      <t>梁小</t>
    </r>
    <r>
      <rPr>
        <sz val="11"/>
        <color theme="1"/>
        <rFont val="ＭＳ Ｐゴシック"/>
        <family val="3"/>
        <charset val="134"/>
        <scheme val="minor"/>
      </rPr>
      <t>红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</si>
  <si>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果酒（含酒精）; 葡萄酒; 白干酒（中国白酒）; 威士忌;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</t>
    </r>
  </si>
  <si>
    <t>冰小萄</t>
  </si>
  <si>
    <r>
      <t>开胃酒; 餐后酒（利口酒和烈酒）;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清酒（日本米酒）; 白酒;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</si>
  <si>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r>
      <t>展</t>
    </r>
    <r>
      <rPr>
        <sz val="11"/>
        <color theme="1"/>
        <rFont val="ＭＳ Ｐゴシック"/>
        <family val="3"/>
        <charset val="129"/>
        <scheme val="minor"/>
      </rPr>
      <t>优</t>
    </r>
    <r>
      <rPr>
        <sz val="11"/>
        <color theme="1"/>
        <rFont val="ＭＳ Ｐゴシック"/>
        <family val="3"/>
        <charset val="128"/>
        <scheme val="minor"/>
      </rPr>
      <t>享</t>
    </r>
  </si>
  <si>
    <r>
      <t>果酒（含酒精）; 葡萄酒; 黄酒; 米酒;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食用酒精; 清酒（日本米酒）</t>
    </r>
  </si>
  <si>
    <t>米汐源</t>
  </si>
  <si>
    <r>
      <t xml:space="preserve">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蜂蜜酒; 黄酒; 果酒（含酒精）;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白酒; 威士忌; 葡萄酒; 开胃酒</t>
    </r>
  </si>
  <si>
    <r>
      <t>琈</t>
    </r>
    <r>
      <rPr>
        <sz val="11"/>
        <color theme="1"/>
        <rFont val="ＭＳ Ｐゴシック"/>
        <family val="3"/>
        <charset val="134"/>
        <scheme val="minor"/>
      </rPr>
      <t>庐</t>
    </r>
  </si>
  <si>
    <r>
      <t>叶</t>
    </r>
    <r>
      <rPr>
        <sz val="11"/>
        <color theme="1"/>
        <rFont val="ＭＳ Ｐゴシック"/>
        <family val="3"/>
        <charset val="134"/>
        <scheme val="minor"/>
      </rPr>
      <t>腾</t>
    </r>
    <r>
      <rPr>
        <sz val="11"/>
        <color theme="1"/>
        <rFont val="ＭＳ Ｐゴシック"/>
        <family val="3"/>
        <charset val="128"/>
        <scheme val="minor"/>
      </rPr>
      <t>宇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</si>
  <si>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威士忌; 朗姆酒;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苦味酒; 果酒（含酒精）; 柑香酒</t>
    </r>
  </si>
  <si>
    <t>鼎泰运通</t>
  </si>
  <si>
    <r>
      <t>蒸煮提取物（利口酒和烈酒）; 青稞酒;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黄酒; 果酒（含酒精）;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米酒; 烈酒</t>
    </r>
  </si>
  <si>
    <t>垙民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</si>
  <si>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州行生堂医</t>
    </r>
    <r>
      <rPr>
        <sz val="11"/>
        <color theme="1"/>
        <rFont val="ＭＳ Ｐゴシック"/>
        <family val="3"/>
        <charset val="134"/>
        <scheme val="minor"/>
      </rPr>
      <t>疗</t>
    </r>
    <r>
      <rPr>
        <sz val="11"/>
        <color theme="1"/>
        <rFont val="ＭＳ Ｐゴシック"/>
        <family val="3"/>
        <charset val="128"/>
        <scheme val="minor"/>
      </rPr>
      <t>科技研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</si>
  <si>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开胃酒;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葡萄酒;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蜂蜜酒; 食用酒精; 米酒; 白酒; 果酒（含酒精）</t>
    </r>
  </si>
  <si>
    <r>
      <t>金三康搭</t>
    </r>
    <r>
      <rPr>
        <sz val="11"/>
        <color theme="1"/>
        <rFont val="ＭＳ Ｐゴシック"/>
        <family val="3"/>
        <charset val="134"/>
        <scheme val="minor"/>
      </rPr>
      <t>挡</t>
    </r>
  </si>
  <si>
    <r>
      <t>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利口酒;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</si>
  <si>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鼎</t>
    </r>
    <r>
      <rPr>
        <sz val="11"/>
        <color theme="1"/>
        <rFont val="ＭＳ Ｐゴシック"/>
        <family val="3"/>
        <charset val="134"/>
        <scheme val="minor"/>
      </rPr>
      <t>顺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</si>
  <si>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葡萄酒; 米酒; 白酒;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</si>
  <si>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淄</t>
    </r>
    <r>
      <rPr>
        <sz val="11"/>
        <color theme="1"/>
        <rFont val="ＭＳ Ｐゴシック"/>
        <family val="3"/>
        <charset val="134"/>
        <scheme val="minor"/>
      </rPr>
      <t>鲜岛</t>
    </r>
  </si>
  <si>
    <r>
      <t>山</t>
    </r>
    <r>
      <rPr>
        <sz val="11"/>
        <color theme="1"/>
        <rFont val="ＭＳ Ｐゴシック"/>
        <family val="3"/>
        <charset val="134"/>
        <scheme val="minor"/>
      </rPr>
      <t>东环</t>
    </r>
    <r>
      <rPr>
        <sz val="11"/>
        <color theme="1"/>
        <rFont val="ＭＳ Ｐゴシック"/>
        <family val="3"/>
        <charset val="128"/>
        <scheme val="minor"/>
      </rPr>
      <t>洋食品有限公司</t>
    </r>
  </si>
  <si>
    <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餐后酒（利口酒和烈酒）; 白酒; 果酒（含酒精）; 蜂蜜酒;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白葡萄酒;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</si>
  <si>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柘就是福</t>
  </si>
  <si>
    <r>
      <t>叁</t>
    </r>
    <r>
      <rPr>
        <sz val="11"/>
        <color theme="1"/>
        <rFont val="ＭＳ Ｐゴシック"/>
        <family val="3"/>
        <charset val="128"/>
        <scheme val="minor"/>
      </rPr>
      <t>成</t>
    </r>
    <r>
      <rPr>
        <sz val="11"/>
        <color theme="1"/>
        <rFont val="ＭＳ Ｐゴシック"/>
        <family val="3"/>
        <charset val="134"/>
        <scheme val="minor"/>
      </rPr>
      <t>叁</t>
    </r>
    <r>
      <rPr>
        <sz val="11"/>
        <color theme="1"/>
        <rFont val="ＭＳ Ｐゴシック"/>
        <family val="3"/>
        <charset val="128"/>
        <scheme val="minor"/>
      </rPr>
      <t>(汾阳)酒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管理咨</t>
    </r>
    <r>
      <rPr>
        <sz val="11"/>
        <color theme="1"/>
        <rFont val="ＭＳ Ｐゴシック"/>
        <family val="3"/>
        <charset val="134"/>
        <scheme val="minor"/>
      </rPr>
      <t>询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</si>
  <si>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甜果酒;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果酒; 白干酒（中国白酒）; 露酒;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</si>
  <si>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欣疆水花</t>
  </si>
  <si>
    <r>
      <t>乌鲁</t>
    </r>
    <r>
      <rPr>
        <sz val="11"/>
        <color theme="1"/>
        <rFont val="ＭＳ Ｐゴシック"/>
        <family val="3"/>
        <charset val="128"/>
        <scheme val="minor"/>
      </rPr>
      <t>木</t>
    </r>
    <r>
      <rPr>
        <sz val="11"/>
        <color theme="1"/>
        <rFont val="ＭＳ Ｐゴシック"/>
        <family val="3"/>
        <charset val="134"/>
        <scheme val="minor"/>
      </rPr>
      <t>齐顺</t>
    </r>
    <r>
      <rPr>
        <sz val="11"/>
        <color theme="1"/>
        <rFont val="ＭＳ Ｐゴシック"/>
        <family val="3"/>
        <charset val="128"/>
        <scheme val="minor"/>
      </rPr>
      <t>其自然商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</si>
  <si>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米酒; 白酒;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葡萄酒; 黄酒; 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</si>
  <si>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瑞源谷</t>
  </si>
  <si>
    <r>
      <t>米酒;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利口酒;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黄酒;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</si>
  <si>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花布礼</t>
  </si>
  <si>
    <r>
      <t>海南嘉檬投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控股有限公司</t>
    </r>
  </si>
  <si>
    <r>
      <t xml:space="preserve">清酒（日本米酒）;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米酒;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</t>
    </r>
  </si>
  <si>
    <t>君咖</t>
  </si>
  <si>
    <r>
      <t>黄酒; 果酒; 露酒; 水果汽酒; 葡萄酒; 白酒; 青稞酒; 汽酒;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>酒; 苦味酒</t>
    </r>
  </si>
  <si>
    <t>香福家</t>
  </si>
  <si>
    <r>
      <t>蒸煮提取物（利口酒和烈酒）; 果酒; 清酒（日本米酒）;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米酒</t>
    </r>
  </si>
  <si>
    <t>万花匠</t>
  </si>
  <si>
    <r>
      <t>白酒; 蒸煮提取物（利口酒和烈酒）; 葡萄酒; 开胃酒; 米酒; 清酒（日本米酒）;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</si>
  <si>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普晨</t>
    </r>
    <r>
      <rPr>
        <sz val="11"/>
        <color theme="1"/>
        <rFont val="ＭＳ Ｐゴシック"/>
        <family val="3"/>
        <charset val="134"/>
        <scheme val="minor"/>
      </rPr>
      <t>农</t>
    </r>
    <r>
      <rPr>
        <sz val="11"/>
        <color theme="1"/>
        <rFont val="ＭＳ Ｐゴシック"/>
        <family val="3"/>
        <charset val="128"/>
        <scheme val="minor"/>
      </rPr>
      <t>牧</t>
    </r>
  </si>
  <si>
    <r>
      <t>内蒙古普晨</t>
    </r>
    <r>
      <rPr>
        <sz val="11"/>
        <color theme="1"/>
        <rFont val="ＭＳ Ｐゴシック"/>
        <family val="3"/>
        <charset val="134"/>
        <scheme val="minor"/>
      </rPr>
      <t>农</t>
    </r>
    <r>
      <rPr>
        <sz val="11"/>
        <color theme="1"/>
        <rFont val="ＭＳ Ｐゴシック"/>
        <family val="3"/>
        <charset val="128"/>
        <scheme val="minor"/>
      </rPr>
      <t>牧科技有限公司</t>
    </r>
  </si>
  <si>
    <r>
      <t xml:space="preserve">葡萄酒; 蜂蜜酒;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高粱酒;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白酒; 米酒</t>
    </r>
  </si>
  <si>
    <t>AHN YOO POP</t>
  </si>
  <si>
    <r>
      <t>上海安三胖餐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</si>
  <si>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果酒（含酒精）; 葡萄酒;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</si>
  <si>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蔗小妹</t>
  </si>
  <si>
    <r>
      <t>广西海酩威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酒股份有限公司</t>
    </r>
  </si>
  <si>
    <r>
      <t>白酒; 利口酒; 果酒（含酒精）; 黄酒; 米酒;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朗姆酒;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</si>
  <si>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安天瑞</t>
  </si>
  <si>
    <r>
      <t>上海魔磁健康咨</t>
    </r>
    <r>
      <rPr>
        <sz val="11"/>
        <color theme="1"/>
        <rFont val="ＭＳ Ｐゴシック"/>
        <family val="3"/>
        <charset val="134"/>
        <scheme val="minor"/>
      </rPr>
      <t>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</si>
  <si>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开胃酒; 餐后酒（利口酒和烈酒）;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</t>
    </r>
  </si>
  <si>
    <r>
      <t>奥提达</t>
    </r>
    <r>
      <rPr>
        <sz val="11"/>
        <color theme="1"/>
        <rFont val="ＭＳ Ｐゴシック"/>
        <family val="3"/>
        <charset val="134"/>
        <scheme val="minor"/>
      </rPr>
      <t>让</t>
    </r>
  </si>
  <si>
    <r>
      <t>江南布衣服</t>
    </r>
    <r>
      <rPr>
        <sz val="11"/>
        <color theme="1"/>
        <rFont val="ＭＳ Ｐゴシック"/>
        <family val="3"/>
        <charset val="134"/>
        <scheme val="minor"/>
      </rPr>
      <t>饰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</si>
  <si>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天然汽酒; 含酒精的水果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果酒（含酒精）; 葡萄酒</t>
    </r>
  </si>
  <si>
    <t>拉芙德至尊</t>
  </si>
  <si>
    <r>
      <t>烟台棕</t>
    </r>
    <r>
      <rPr>
        <sz val="11"/>
        <color theme="1"/>
        <rFont val="ＭＳ Ｐゴシック"/>
        <family val="3"/>
        <charset val="134"/>
        <scheme val="minor"/>
      </rPr>
      <t>榈树</t>
    </r>
    <r>
      <rPr>
        <sz val="11"/>
        <color theme="1"/>
        <rFont val="ＭＳ Ｐゴシック"/>
        <family val="3"/>
        <charset val="128"/>
        <scheme val="minor"/>
      </rPr>
      <t>葡萄酒有限公司</t>
    </r>
  </si>
  <si>
    <r>
      <t>开胃酒; 苹果酒; 威士忌; 果酒（含酒精）; 酸酒（低等葡萄酒）;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梨酒;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</si>
  <si>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湘大人</t>
  </si>
  <si>
    <r>
      <t>陈</t>
    </r>
    <r>
      <rPr>
        <sz val="11"/>
        <color theme="1"/>
        <rFont val="ＭＳ Ｐゴシック"/>
        <family val="3"/>
        <charset val="128"/>
        <scheme val="minor"/>
      </rPr>
      <t>海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</si>
  <si>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白酒;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威士忌; 白干酒（中国白酒）;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</si>
  <si>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山之右</t>
  </si>
  <si>
    <r>
      <t>太原匠心酒坊有限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</si>
  <si>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黄酒; 青稞酒; 米酒; 露酒; 高粱酒;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食用酒精;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果酒</t>
    </r>
  </si>
  <si>
    <r>
      <t>闽</t>
    </r>
    <r>
      <rPr>
        <sz val="11"/>
        <color theme="1"/>
        <rFont val="ＭＳ Ｐゴシック"/>
        <family val="3"/>
        <charset val="128"/>
        <scheme val="minor"/>
      </rPr>
      <t>南厝</t>
    </r>
  </si>
  <si>
    <t>徐大康</t>
  </si>
  <si>
    <r>
      <t>葡萄酒; 清酒（日本米酒）; 伏特加酒;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黄酒; 白酒;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朗姆酒</t>
    </r>
  </si>
  <si>
    <t>JAJ</t>
  </si>
  <si>
    <t>汪自林</t>
  </si>
  <si>
    <r>
      <t>烈酒;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果酒（含酒精）; 开胃酒; 清酒（日本米酒）;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白酒</t>
    </r>
  </si>
  <si>
    <t>聚泉湖</t>
  </si>
  <si>
    <r>
      <t>济</t>
    </r>
    <r>
      <rPr>
        <sz val="11"/>
        <color theme="1"/>
        <rFont val="ＭＳ Ｐゴシック"/>
        <family val="3"/>
        <charset val="128"/>
        <scheme val="minor"/>
      </rPr>
      <t>南</t>
    </r>
    <r>
      <rPr>
        <sz val="11"/>
        <color theme="1"/>
        <rFont val="ＭＳ Ｐゴシック"/>
        <family val="3"/>
        <charset val="134"/>
        <scheme val="minor"/>
      </rPr>
      <t>铭</t>
    </r>
    <r>
      <rPr>
        <sz val="11"/>
        <color theme="1"/>
        <rFont val="ＭＳ Ｐゴシック"/>
        <family val="3"/>
        <charset val="128"/>
        <scheme val="minor"/>
      </rPr>
      <t>窖酒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</si>
  <si>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烈酒;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青稞酒;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</si>
  <si>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迁迁公爵</t>
  </si>
  <si>
    <r>
      <t>汕</t>
    </r>
    <r>
      <rPr>
        <sz val="11"/>
        <color theme="1"/>
        <rFont val="ＭＳ Ｐゴシック"/>
        <family val="3"/>
        <charset val="134"/>
        <scheme val="minor"/>
      </rPr>
      <t>头</t>
    </r>
    <r>
      <rPr>
        <sz val="11"/>
        <color theme="1"/>
        <rFont val="ＭＳ Ｐゴシック"/>
        <family val="3"/>
        <charset val="128"/>
        <scheme val="minor"/>
      </rPr>
      <t>市芳樽酒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</si>
  <si>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利口酒;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含酒精的充气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果酒; 威士忌;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含酒精的水果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天然汽酒</t>
    </r>
  </si>
  <si>
    <r>
      <t>医</t>
    </r>
    <r>
      <rPr>
        <sz val="11"/>
        <color theme="1"/>
        <rFont val="ＭＳ Ｐゴシック"/>
        <family val="3"/>
        <charset val="134"/>
        <scheme val="minor"/>
      </rPr>
      <t>汇</t>
    </r>
    <r>
      <rPr>
        <sz val="11"/>
        <color theme="1"/>
        <rFont val="ＭＳ Ｐゴシック"/>
        <family val="3"/>
        <charset val="128"/>
        <scheme val="minor"/>
      </rPr>
      <t>康</t>
    </r>
    <r>
      <rPr>
        <sz val="11"/>
        <color theme="1"/>
        <rFont val="ＭＳ Ｐゴシック"/>
        <family val="3"/>
        <charset val="134"/>
        <scheme val="minor"/>
      </rPr>
      <t>华</t>
    </r>
  </si>
  <si>
    <t>王金梅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</si>
  <si>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果酒; 米酒; 食用酒精; 黄酒;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汽酒; 烈酒</t>
    </r>
  </si>
  <si>
    <r>
      <t>泛泛</t>
    </r>
    <r>
      <rPr>
        <sz val="11"/>
        <color theme="1"/>
        <rFont val="ＭＳ Ｐゴシック"/>
        <family val="3"/>
        <charset val="134"/>
        <scheme val="minor"/>
      </rPr>
      <t>农汇</t>
    </r>
  </si>
  <si>
    <r>
      <t>江西泛泛</t>
    </r>
    <r>
      <rPr>
        <sz val="11"/>
        <color theme="1"/>
        <rFont val="ＭＳ Ｐゴシック"/>
        <family val="3"/>
        <charset val="134"/>
        <scheme val="minor"/>
      </rPr>
      <t>农业发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</si>
  <si>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米酒; 黄酒; 食用酒精;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甜酒; 蒸煮提取物（利口酒和烈酒）; 果酒</t>
    </r>
  </si>
  <si>
    <t>黔酩江</t>
  </si>
  <si>
    <r>
      <t>张</t>
    </r>
    <r>
      <rPr>
        <sz val="11"/>
        <color theme="1"/>
        <rFont val="ＭＳ Ｐゴシック"/>
        <family val="3"/>
        <charset val="128"/>
        <scheme val="minor"/>
      </rPr>
      <t>运</t>
    </r>
    <r>
      <rPr>
        <sz val="11"/>
        <color theme="1"/>
        <rFont val="ＭＳ Ｐゴシック"/>
        <family val="3"/>
        <charset val="129"/>
        <scheme val="minor"/>
      </rPr>
      <t>强</t>
    </r>
  </si>
  <si>
    <r>
      <t xml:space="preserve">清酒（日本米酒）; 果酒（含酒精）; 白酒;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烈酒;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威士忌</t>
    </r>
  </si>
  <si>
    <r>
      <t xml:space="preserve">白酒; 黄酒; 青稞酒;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食用酒精; 威士忌; 米酒; 果酒（含酒精）</t>
    </r>
  </si>
  <si>
    <t>牧蓉雪</t>
  </si>
  <si>
    <r>
      <t>苏</t>
    </r>
    <r>
      <rPr>
        <sz val="11"/>
        <color theme="1"/>
        <rFont val="ＭＳ Ｐゴシック"/>
        <family val="3"/>
        <charset val="128"/>
        <scheme val="minor"/>
      </rPr>
      <t>州牧蓉雪</t>
    </r>
    <r>
      <rPr>
        <sz val="11"/>
        <color theme="1"/>
        <rFont val="ＭＳ Ｐゴシック"/>
        <family val="3"/>
        <charset val="134"/>
        <scheme val="minor"/>
      </rPr>
      <t>电</t>
    </r>
    <r>
      <rPr>
        <sz val="11"/>
        <color theme="1"/>
        <rFont val="ＭＳ Ｐゴシック"/>
        <family val="3"/>
        <charset val="128"/>
        <scheme val="minor"/>
      </rPr>
      <t>子商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咨</t>
    </r>
    <r>
      <rPr>
        <sz val="11"/>
        <color theme="1"/>
        <rFont val="ＭＳ Ｐゴシック"/>
        <family val="3"/>
        <charset val="134"/>
        <scheme val="minor"/>
      </rPr>
      <t>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</si>
  <si>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果酒（含酒精）;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葡萄酒; 米酒;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</t>
    </r>
  </si>
  <si>
    <r>
      <t>汇</t>
    </r>
    <r>
      <rPr>
        <sz val="11"/>
        <color theme="1"/>
        <rFont val="ＭＳ Ｐゴシック"/>
        <family val="3"/>
        <charset val="128"/>
        <scheme val="minor"/>
      </rPr>
      <t>美物</t>
    </r>
  </si>
  <si>
    <r>
      <t>深圳市瑞通速</t>
    </r>
    <r>
      <rPr>
        <sz val="11"/>
        <color theme="1"/>
        <rFont val="ＭＳ Ｐゴシック"/>
        <family val="3"/>
        <charset val="134"/>
        <scheme val="minor"/>
      </rPr>
      <t>递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</si>
  <si>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起泡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汽酒; 利口酒; 梅酒; 黄酒; 果酒（含酒精）; 开胃酒; 米酒; 葡萄汽酒</t>
    </r>
  </si>
  <si>
    <r>
      <t>双</t>
    </r>
    <r>
      <rPr>
        <sz val="11"/>
        <color theme="1"/>
        <rFont val="ＭＳ Ｐゴシック"/>
        <family val="3"/>
        <charset val="134"/>
        <scheme val="minor"/>
      </rPr>
      <t>龙贺</t>
    </r>
    <r>
      <rPr>
        <sz val="11"/>
        <color theme="1"/>
        <rFont val="ＭＳ Ｐゴシック"/>
        <family val="3"/>
        <charset val="128"/>
        <scheme val="minor"/>
      </rPr>
      <t>禧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</si>
  <si>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高粱酒; 白酒; 果酒（含酒精）;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</si>
  <si>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葡萄酒;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</si>
  <si>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蔡小雅（重</t>
    </r>
    <r>
      <rPr>
        <sz val="11"/>
        <color theme="1"/>
        <rFont val="ＭＳ Ｐゴシック"/>
        <family val="3"/>
        <charset val="134"/>
        <scheme val="minor"/>
      </rPr>
      <t>庆</t>
    </r>
    <r>
      <rPr>
        <sz val="11"/>
        <color theme="1"/>
        <rFont val="ＭＳ Ｐゴシック"/>
        <family val="3"/>
        <charset val="128"/>
        <scheme val="minor"/>
      </rPr>
      <t>）餐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</si>
  <si>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米酒; 利口酒; 果酒（含酒精）; 青稞酒;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酸酒（低等葡萄酒）; 烈酒; 葡萄酒</t>
    </r>
  </si>
  <si>
    <r>
      <t xml:space="preserve">米酒; 酸酒（低等葡萄酒）; 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青稞酒; 葡萄酒; 利口酒;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果酒（含酒精）; 白酒</t>
    </r>
  </si>
  <si>
    <r>
      <t>郑</t>
    </r>
    <r>
      <rPr>
        <sz val="11"/>
        <color theme="1"/>
        <rFont val="ＭＳ Ｐゴシック"/>
        <family val="3"/>
        <charset val="128"/>
        <scheme val="minor"/>
      </rPr>
      <t>睿</t>
    </r>
  </si>
  <si>
    <r>
      <t>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白酒; 含酒精的气泡水;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葡萄酒</t>
    </r>
  </si>
  <si>
    <r>
      <t>奥</t>
    </r>
    <r>
      <rPr>
        <sz val="11"/>
        <color theme="1"/>
        <rFont val="ＭＳ Ｐゴシック"/>
        <family val="3"/>
        <charset val="134"/>
        <scheme val="minor"/>
      </rPr>
      <t>谛</t>
    </r>
    <r>
      <rPr>
        <sz val="11"/>
        <color theme="1"/>
        <rFont val="ＭＳ Ｐゴシック"/>
        <family val="3"/>
        <charset val="128"/>
        <scheme val="minor"/>
      </rPr>
      <t>达拉</t>
    </r>
  </si>
  <si>
    <r>
      <t>天然汽酒;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果酒（含酒精）;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含酒精的水果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</t>
    </r>
  </si>
  <si>
    <t>梦里月</t>
  </si>
  <si>
    <r>
      <t>东</t>
    </r>
    <r>
      <rPr>
        <sz val="11"/>
        <color theme="1"/>
        <rFont val="ＭＳ Ｐゴシック"/>
        <family val="3"/>
        <charset val="128"/>
        <scheme val="minor"/>
      </rPr>
      <t>莞市戎美服</t>
    </r>
    <r>
      <rPr>
        <sz val="11"/>
        <color theme="1"/>
        <rFont val="ＭＳ Ｐゴシック"/>
        <family val="3"/>
        <charset val="134"/>
        <scheme val="minor"/>
      </rPr>
      <t>饰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</si>
  <si>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黄酒; 葡萄酒; 苹果酒;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</si>
  <si>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万宝利</t>
  </si>
  <si>
    <t>何柯君</t>
  </si>
  <si>
    <r>
      <t>青梅酒;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威士忌; 伏特加酒;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</t>
    </r>
  </si>
  <si>
    <r>
      <t>华</t>
    </r>
    <r>
      <rPr>
        <sz val="11"/>
        <color theme="1"/>
        <rFont val="ＭＳ Ｐゴシック"/>
        <family val="3"/>
        <charset val="128"/>
        <scheme val="minor"/>
      </rPr>
      <t>金</t>
    </r>
    <r>
      <rPr>
        <sz val="11"/>
        <color theme="1"/>
        <rFont val="ＭＳ Ｐゴシック"/>
        <family val="3"/>
        <charset val="134"/>
        <scheme val="minor"/>
      </rPr>
      <t>涧</t>
    </r>
  </si>
  <si>
    <r>
      <t>丁</t>
    </r>
    <r>
      <rPr>
        <sz val="11"/>
        <color theme="1"/>
        <rFont val="ＭＳ Ｐゴシック"/>
        <family val="3"/>
        <charset val="134"/>
        <scheme val="minor"/>
      </rPr>
      <t>荛</t>
    </r>
  </si>
  <si>
    <r>
      <t>威士忌; 果酒; 烈酒; 白酒; 葡萄酒;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米酒;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</t>
    </r>
  </si>
  <si>
    <r>
      <t>宣和</t>
    </r>
    <r>
      <rPr>
        <sz val="11"/>
        <color theme="1"/>
        <rFont val="ＭＳ Ｐゴシック"/>
        <family val="3"/>
        <charset val="134"/>
        <scheme val="minor"/>
      </rPr>
      <t>郸</t>
    </r>
    <r>
      <rPr>
        <sz val="11"/>
        <color theme="1"/>
        <rFont val="ＭＳ Ｐゴシック"/>
        <family val="3"/>
        <charset val="128"/>
        <scheme val="minor"/>
      </rPr>
      <t>台酒</t>
    </r>
  </si>
  <si>
    <r>
      <t>御金台（河北）广告装</t>
    </r>
    <r>
      <rPr>
        <sz val="11"/>
        <color theme="1"/>
        <rFont val="ＭＳ Ｐゴシック"/>
        <family val="3"/>
        <charset val="134"/>
        <scheme val="minor"/>
      </rPr>
      <t>饰</t>
    </r>
    <r>
      <rPr>
        <sz val="11"/>
        <color theme="1"/>
        <rFont val="ＭＳ Ｐゴシック"/>
        <family val="3"/>
        <charset val="128"/>
        <scheme val="minor"/>
      </rPr>
      <t>工程有限公司</t>
    </r>
  </si>
  <si>
    <r>
      <t>永泰</t>
    </r>
    <r>
      <rPr>
        <sz val="11"/>
        <color theme="1"/>
        <rFont val="ＭＳ Ｐゴシック"/>
        <family val="3"/>
        <charset val="134"/>
        <scheme val="minor"/>
      </rPr>
      <t>牵</t>
    </r>
    <r>
      <rPr>
        <sz val="11"/>
        <color theme="1"/>
        <rFont val="ＭＳ Ｐゴシック"/>
        <family val="3"/>
        <charset val="128"/>
        <scheme val="minor"/>
      </rPr>
      <t>味</t>
    </r>
  </si>
  <si>
    <r>
      <t>张</t>
    </r>
    <r>
      <rPr>
        <sz val="11"/>
        <color theme="1"/>
        <rFont val="ＭＳ Ｐゴシック"/>
        <family val="3"/>
        <charset val="128"/>
        <scheme val="minor"/>
      </rPr>
      <t>惠明</t>
    </r>
  </si>
  <si>
    <r>
      <t xml:space="preserve">白酒;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烈酒;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蒸煮提取物（利口酒和烈酒）;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果酒; 以朗姆酒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</si>
  <si>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拉芙德金</t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</si>
  <si>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开胃酒; 酸酒（低等葡萄酒）; 梨酒; 葡萄酒; 苹果酒;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果酒（含酒精）; 威士忌</t>
    </r>
  </si>
  <si>
    <r>
      <t>正泰醇</t>
    </r>
    <r>
      <rPr>
        <sz val="11"/>
        <color theme="1"/>
        <rFont val="ＭＳ Ｐゴシック"/>
        <family val="3"/>
        <charset val="134"/>
        <scheme val="minor"/>
      </rPr>
      <t>辉</t>
    </r>
  </si>
  <si>
    <r>
      <t>山西汾州府酒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</si>
  <si>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高粱酒;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威士忌; 米酒;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</si>
  <si>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御本膳</t>
  </si>
  <si>
    <t>中山市好益佳食品有限公司</t>
  </si>
  <si>
    <r>
      <t xml:space="preserve">蜂蜜酒;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果酒（含酒精）; 清酒; 葡萄酒; 黄酒; 米酒; 开胃酒</t>
    </r>
  </si>
  <si>
    <r>
      <t>居居</t>
    </r>
    <r>
      <rPr>
        <sz val="11"/>
        <color theme="1"/>
        <rFont val="ＭＳ Ｐゴシック"/>
        <family val="3"/>
        <charset val="129"/>
        <scheme val="minor"/>
      </rPr>
      <t>啵</t>
    </r>
  </si>
  <si>
    <t>李卓超</t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</si>
  <si>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高粱酒; 果酒;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果酒（含酒精）; 黄酒; 白葡萄酒</t>
    </r>
  </si>
  <si>
    <t>元极春</t>
  </si>
  <si>
    <r>
      <t>江</t>
    </r>
    <r>
      <rPr>
        <sz val="11"/>
        <color theme="1"/>
        <rFont val="ＭＳ Ｐゴシック"/>
        <family val="3"/>
        <charset val="134"/>
        <scheme val="minor"/>
      </rPr>
      <t>苏</t>
    </r>
    <r>
      <rPr>
        <sz val="11"/>
        <color theme="1"/>
        <rFont val="ＭＳ Ｐゴシック"/>
        <family val="3"/>
        <charset val="128"/>
        <scheme val="minor"/>
      </rPr>
      <t>参源康酒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</si>
  <si>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蒸煮提取物（利口酒和烈酒）;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开胃酒</t>
    </r>
  </si>
  <si>
    <t>春秋溪</t>
  </si>
  <si>
    <r>
      <t>泸</t>
    </r>
    <r>
      <rPr>
        <sz val="11"/>
        <color theme="1"/>
        <rFont val="ＭＳ Ｐゴシック"/>
        <family val="3"/>
        <charset val="128"/>
        <scheme val="minor"/>
      </rPr>
      <t>州力量商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</si>
  <si>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五点</t>
    </r>
    <r>
      <rPr>
        <sz val="11"/>
        <color theme="1"/>
        <rFont val="ＭＳ Ｐゴシック"/>
        <family val="3"/>
        <charset val="134"/>
        <scheme val="minor"/>
      </rPr>
      <t>红</t>
    </r>
  </si>
  <si>
    <r>
      <t>熙蔚商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（</t>
    </r>
    <r>
      <rPr>
        <sz val="11"/>
        <color theme="1"/>
        <rFont val="ＭＳ Ｐゴシック"/>
        <family val="3"/>
        <charset val="134"/>
        <scheme val="minor"/>
      </rPr>
      <t>临</t>
    </r>
    <r>
      <rPr>
        <sz val="11"/>
        <color theme="1"/>
        <rFont val="ＭＳ Ｐゴシック"/>
        <family val="3"/>
        <charset val="128"/>
        <scheme val="minor"/>
      </rPr>
      <t>沂）有限公司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</si>
  <si>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白酒; 果酒; 葡萄酒; 利口酒; 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</si>
  <si>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双</t>
    </r>
    <r>
      <rPr>
        <sz val="11"/>
        <color theme="1"/>
        <rFont val="ＭＳ Ｐゴシック"/>
        <family val="3"/>
        <charset val="134"/>
        <scheme val="minor"/>
      </rPr>
      <t>狮</t>
    </r>
    <r>
      <rPr>
        <sz val="11"/>
        <color theme="1"/>
        <rFont val="ＭＳ Ｐゴシック"/>
        <family val="3"/>
        <charset val="128"/>
        <scheme val="minor"/>
      </rPr>
      <t>正号</t>
    </r>
  </si>
  <si>
    <r>
      <t>广州广</t>
    </r>
    <r>
      <rPr>
        <sz val="11"/>
        <color theme="1"/>
        <rFont val="ＭＳ Ｐゴシック"/>
        <family val="3"/>
        <charset val="134"/>
        <scheme val="minor"/>
      </rPr>
      <t>钢</t>
    </r>
    <r>
      <rPr>
        <sz val="11"/>
        <color theme="1"/>
        <rFont val="ＭＳ Ｐゴシック"/>
        <family val="3"/>
        <charset val="128"/>
        <scheme val="minor"/>
      </rPr>
      <t>金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</si>
  <si>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米酒; 黄酒; 果酒（含酒精）;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青稞酒;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苹果酒</t>
    </r>
  </si>
  <si>
    <r>
      <t>飞</t>
    </r>
    <r>
      <rPr>
        <sz val="11"/>
        <color theme="1"/>
        <rFont val="ＭＳ Ｐゴシック"/>
        <family val="3"/>
        <charset val="128"/>
        <scheme val="minor"/>
      </rPr>
      <t>行</t>
    </r>
    <r>
      <rPr>
        <sz val="11"/>
        <color theme="1"/>
        <rFont val="ＭＳ Ｐゴシック"/>
        <family val="3"/>
        <charset val="134"/>
        <scheme val="minor"/>
      </rPr>
      <t>剑</t>
    </r>
  </si>
  <si>
    <r>
      <t>陕</t>
    </r>
    <r>
      <rPr>
        <sz val="11"/>
        <color theme="1"/>
        <rFont val="ＭＳ Ｐゴシック"/>
        <family val="3"/>
        <charset val="128"/>
        <scheme val="minor"/>
      </rPr>
      <t>西美</t>
    </r>
    <r>
      <rPr>
        <sz val="11"/>
        <color theme="1"/>
        <rFont val="ＭＳ Ｐゴシック"/>
        <family val="3"/>
        <charset val="134"/>
        <scheme val="minor"/>
      </rPr>
      <t>满</t>
    </r>
    <r>
      <rPr>
        <sz val="11"/>
        <color theme="1"/>
        <rFont val="ＭＳ Ｐゴシック"/>
        <family val="3"/>
        <charset val="128"/>
        <scheme val="minor"/>
      </rPr>
      <t>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</si>
  <si>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葡萄酒; 甜果酒; 伏特加酒;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高粱酒; 威士忌</t>
    </r>
  </si>
  <si>
    <t>繁星巨擎</t>
  </si>
  <si>
    <r>
      <t>北京国璞文化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媒有限公司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</si>
  <si>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</t>
    </r>
  </si>
  <si>
    <r>
      <t>陇东</t>
    </r>
    <r>
      <rPr>
        <sz val="11"/>
        <color theme="1"/>
        <rFont val="ＭＳ Ｐゴシック"/>
        <family val="3"/>
        <charset val="128"/>
        <scheme val="minor"/>
      </rPr>
      <t>学</t>
    </r>
  </si>
  <si>
    <r>
      <t>浙江</t>
    </r>
    <r>
      <rPr>
        <sz val="11"/>
        <color theme="1"/>
        <rFont val="ＭＳ Ｐゴシック"/>
        <family val="3"/>
        <charset val="134"/>
        <scheme val="minor"/>
      </rPr>
      <t>陇东</t>
    </r>
    <r>
      <rPr>
        <sz val="11"/>
        <color theme="1"/>
        <rFont val="ＭＳ Ｐゴシック"/>
        <family val="3"/>
        <charset val="128"/>
        <scheme val="minor"/>
      </rPr>
      <t>机</t>
    </r>
    <r>
      <rPr>
        <sz val="11"/>
        <color theme="1"/>
        <rFont val="ＭＳ Ｐゴシック"/>
        <family val="3"/>
        <charset val="134"/>
        <scheme val="minor"/>
      </rPr>
      <t>电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</si>
  <si>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 xml:space="preserve">葡萄酒; 清酒（日本米酒）; 青稞酒; 蜂蜜酒; 白酒;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汽酒; 果酒（含酒精）; 米酒</t>
    </r>
  </si>
  <si>
    <r>
      <t>疆</t>
    </r>
    <r>
      <rPr>
        <sz val="11"/>
        <color theme="1"/>
        <rFont val="ＭＳ Ｐゴシック"/>
        <family val="3"/>
        <charset val="134"/>
        <scheme val="minor"/>
      </rPr>
      <t>满</t>
    </r>
    <r>
      <rPr>
        <sz val="11"/>
        <color theme="1"/>
        <rFont val="ＭＳ Ｐゴシック"/>
        <family val="3"/>
        <charset val="128"/>
        <scheme val="minor"/>
      </rPr>
      <t>季</t>
    </r>
  </si>
  <si>
    <r>
      <t>永康市</t>
    </r>
    <r>
      <rPr>
        <sz val="11"/>
        <color theme="1"/>
        <rFont val="ＭＳ Ｐゴシック"/>
        <family val="3"/>
        <charset val="134"/>
        <scheme val="minor"/>
      </rPr>
      <t>诗远</t>
    </r>
    <r>
      <rPr>
        <sz val="11"/>
        <color theme="1"/>
        <rFont val="ＭＳ Ｐゴシック"/>
        <family val="3"/>
        <charset val="128"/>
        <scheme val="minor"/>
      </rPr>
      <t>工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</si>
  <si>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白干酒（中国白酒）; 蜂蜜酒; 青稞酒; 白酒; 刺五加酒; 黄酒; 高粱酒;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五加皮酒（中国混合烈酒）</t>
    </r>
  </si>
  <si>
    <r>
      <t>乾</t>
    </r>
    <r>
      <rPr>
        <sz val="11"/>
        <color theme="1"/>
        <rFont val="ＭＳ Ｐゴシック"/>
        <family val="3"/>
        <charset val="134"/>
        <scheme val="minor"/>
      </rPr>
      <t>满龙</t>
    </r>
  </si>
  <si>
    <r>
      <t>林</t>
    </r>
    <r>
      <rPr>
        <sz val="11"/>
        <color theme="1"/>
        <rFont val="ＭＳ Ｐゴシック"/>
        <family val="3"/>
        <charset val="134"/>
        <scheme val="minor"/>
      </rPr>
      <t>润华</t>
    </r>
  </si>
  <si>
    <r>
      <t>葡萄酒; 清酒（日本米酒）; 果酒（含酒精）; 米酒;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食用酒精; 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</si>
  <si>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五彩布兜</t>
  </si>
  <si>
    <r>
      <t>乔</t>
    </r>
    <r>
      <rPr>
        <sz val="11"/>
        <color theme="1"/>
        <rFont val="ＭＳ Ｐゴシック"/>
        <family val="3"/>
        <charset val="128"/>
        <scheme val="minor"/>
      </rPr>
      <t>宇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</si>
  <si>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黄酒; 露酒;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白酒; 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威士忌</t>
    </r>
  </si>
  <si>
    <r>
      <t>华</t>
    </r>
    <r>
      <rPr>
        <sz val="11"/>
        <color theme="1"/>
        <rFont val="ＭＳ Ｐゴシック"/>
        <family val="3"/>
        <charset val="128"/>
        <scheme val="minor"/>
      </rPr>
      <t>山</t>
    </r>
    <r>
      <rPr>
        <sz val="11"/>
        <color theme="1"/>
        <rFont val="ＭＳ Ｐゴシック"/>
        <family val="3"/>
        <charset val="134"/>
        <scheme val="minor"/>
      </rPr>
      <t>飞</t>
    </r>
    <r>
      <rPr>
        <sz val="11"/>
        <color theme="1"/>
        <rFont val="ＭＳ Ｐゴシック"/>
        <family val="3"/>
        <charset val="128"/>
        <scheme val="minor"/>
      </rPr>
      <t>狐</t>
    </r>
  </si>
  <si>
    <r>
      <t>雪山</t>
    </r>
    <r>
      <rPr>
        <sz val="11"/>
        <color theme="1"/>
        <rFont val="ＭＳ Ｐゴシック"/>
        <family val="3"/>
        <charset val="134"/>
        <scheme val="minor"/>
      </rPr>
      <t>飞</t>
    </r>
    <r>
      <rPr>
        <sz val="11"/>
        <color theme="1"/>
        <rFont val="ＭＳ Ｐゴシック"/>
        <family val="3"/>
        <charset val="128"/>
        <scheme val="minor"/>
      </rPr>
      <t>狐（北京）品牌管理有限公司</t>
    </r>
  </si>
  <si>
    <r>
      <t>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伏特加酒; 白酒;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</si>
  <si>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小袋</t>
    </r>
    <r>
      <rPr>
        <sz val="11"/>
        <color theme="1"/>
        <rFont val="ＭＳ Ｐゴシック"/>
        <family val="3"/>
        <charset val="134"/>
        <scheme val="minor"/>
      </rPr>
      <t>鲤</t>
    </r>
  </si>
  <si>
    <r>
      <t>厦</t>
    </r>
    <r>
      <rPr>
        <sz val="11"/>
        <color theme="1"/>
        <rFont val="ＭＳ Ｐゴシック"/>
        <family val="3"/>
        <charset val="134"/>
        <scheme val="minor"/>
      </rPr>
      <t>门赢</t>
    </r>
    <r>
      <rPr>
        <sz val="11"/>
        <color theme="1"/>
        <rFont val="ＭＳ Ｐゴシック"/>
        <family val="3"/>
        <charset val="128"/>
        <scheme val="minor"/>
      </rPr>
      <t>定科技股份有限公司</t>
    </r>
  </si>
  <si>
    <r>
      <t>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高粱酒;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米酒（泡盛酒）; 米酒;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白干酒（中国白酒）; 白酒; 白葡萄酒</t>
    </r>
  </si>
  <si>
    <t>余老七</t>
  </si>
  <si>
    <r>
      <t>余</t>
    </r>
    <r>
      <rPr>
        <sz val="11"/>
        <color theme="1"/>
        <rFont val="ＭＳ Ｐゴシック"/>
        <family val="3"/>
        <charset val="134"/>
        <scheme val="minor"/>
      </rPr>
      <t>树</t>
    </r>
    <r>
      <rPr>
        <sz val="11"/>
        <color theme="1"/>
        <rFont val="ＭＳ Ｐゴシック"/>
        <family val="3"/>
        <charset val="128"/>
        <scheme val="minor"/>
      </rPr>
      <t>成******************</t>
    </r>
  </si>
  <si>
    <r>
      <t xml:space="preserve">果酒;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利口酒; 白酒; 青稞酒; 蒸煮提取物（利口酒和烈酒）</t>
    </r>
  </si>
  <si>
    <r>
      <t>烟</t>
    </r>
    <r>
      <rPr>
        <sz val="11"/>
        <color theme="1"/>
        <rFont val="ＭＳ Ｐゴシック"/>
        <family val="3"/>
        <charset val="134"/>
        <scheme val="minor"/>
      </rPr>
      <t>锁</t>
    </r>
  </si>
  <si>
    <t>樊小妹</t>
  </si>
  <si>
    <r>
      <t>苦味酒; 果酒（含酒精）; 白酒; 以蒸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主的开胃酒;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柑香酒; 米酒; 白干酒（中国白酒）;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茴香酒（利口酒）</t>
    </r>
  </si>
  <si>
    <t>邵商盛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</si>
  <si>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州沂台酒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</si>
  <si>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餐后酒（利口酒和烈酒）;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</si>
  <si>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舒赤匠</t>
  </si>
  <si>
    <t>王迪</t>
  </si>
  <si>
    <t>青稞酒; 食用酒精; 黄酒; 白酒; 果酒（含酒精）; 米酒; 白葡萄酒; 葡萄酒; 朗姆酒; 梨酒</t>
  </si>
  <si>
    <r>
      <t>农</t>
    </r>
    <r>
      <rPr>
        <sz val="11"/>
        <color theme="1"/>
        <rFont val="ＭＳ Ｐゴシック"/>
        <family val="3"/>
        <charset val="128"/>
        <scheme val="minor"/>
      </rPr>
      <t>小道</t>
    </r>
  </si>
  <si>
    <r>
      <t>农</t>
    </r>
    <r>
      <rPr>
        <sz val="11"/>
        <color theme="1"/>
        <rFont val="ＭＳ Ｐゴシック"/>
        <family val="3"/>
        <charset val="128"/>
        <scheme val="minor"/>
      </rPr>
      <t>道投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（海口）有限公司</t>
    </r>
  </si>
  <si>
    <r>
      <t>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米酒;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</t>
    </r>
  </si>
  <si>
    <t>珈一福</t>
  </si>
  <si>
    <t>李志梅</t>
  </si>
  <si>
    <r>
      <t xml:space="preserve">米酒; 葡萄酒; 白酒; 汽酒;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露酒;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蜂蜜酒</t>
    </r>
  </si>
  <si>
    <t>正永久</t>
  </si>
  <si>
    <r>
      <t>郑</t>
    </r>
    <r>
      <rPr>
        <sz val="11"/>
        <color theme="1"/>
        <rFont val="ＭＳ Ｐゴシック"/>
        <family val="3"/>
        <charset val="128"/>
        <scheme val="minor"/>
      </rPr>
      <t>勇</t>
    </r>
  </si>
  <si>
    <r>
      <t xml:space="preserve">露酒;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清酒;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高粱酒; 白干酒（中国白酒）; 黄酒; 烈酒; 青稞酒</t>
    </r>
  </si>
  <si>
    <r>
      <t>钦</t>
    </r>
    <r>
      <rPr>
        <sz val="11"/>
        <color theme="1"/>
        <rFont val="ＭＳ Ｐゴシック"/>
        <family val="3"/>
        <charset val="128"/>
        <scheme val="minor"/>
      </rPr>
      <t>谷煌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</si>
  <si>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34"/>
        <scheme val="minor"/>
      </rPr>
      <t>润</t>
    </r>
    <r>
      <rPr>
        <sz val="11"/>
        <color theme="1"/>
        <rFont val="ＭＳ Ｐゴシック"/>
        <family val="3"/>
        <charset val="128"/>
        <scheme val="minor"/>
      </rPr>
      <t>正煌食品有限公司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</si>
  <si>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果酒（含酒精）;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汽酒; 利口酒</t>
    </r>
  </si>
  <si>
    <r>
      <t>玺</t>
    </r>
    <r>
      <rPr>
        <sz val="11"/>
        <color theme="1"/>
        <rFont val="ＭＳ Ｐゴシック"/>
        <family val="3"/>
        <charset val="128"/>
        <scheme val="minor"/>
      </rPr>
      <t>印</t>
    </r>
    <r>
      <rPr>
        <sz val="11"/>
        <color theme="1"/>
        <rFont val="ＭＳ Ｐゴシック"/>
        <family val="3"/>
        <charset val="134"/>
        <scheme val="minor"/>
      </rPr>
      <t>郸</t>
    </r>
    <r>
      <rPr>
        <sz val="11"/>
        <color theme="1"/>
        <rFont val="ＭＳ Ｐゴシック"/>
        <family val="3"/>
        <charset val="128"/>
        <scheme val="minor"/>
      </rPr>
      <t>台</t>
    </r>
  </si>
  <si>
    <t>乾棠春</t>
  </si>
  <si>
    <t>乾棠春（北京）健康管理有限公司</t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</si>
  <si>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葡萄酒; 白酒; 果酒（含酒精）;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</si>
  <si>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华满</t>
    </r>
    <r>
      <rPr>
        <sz val="11"/>
        <color theme="1"/>
        <rFont val="ＭＳ Ｐゴシック"/>
        <family val="3"/>
        <charset val="128"/>
        <scheme val="minor"/>
      </rPr>
      <t>渡</t>
    </r>
  </si>
  <si>
    <r>
      <t xml:space="preserve">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开胃酒; 烈酒; 威士忌; 葡萄酒; 黄酒;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</t>
    </r>
  </si>
  <si>
    <r>
      <t>成</t>
    </r>
    <r>
      <rPr>
        <sz val="11"/>
        <color theme="1"/>
        <rFont val="ＭＳ Ｐゴシック"/>
        <family val="3"/>
        <charset val="134"/>
        <scheme val="minor"/>
      </rPr>
      <t>义烧</t>
    </r>
    <r>
      <rPr>
        <sz val="11"/>
        <color theme="1"/>
        <rFont val="ＭＳ Ｐゴシック"/>
        <family val="3"/>
        <charset val="128"/>
        <scheme val="minor"/>
      </rPr>
      <t>坊珍藏</t>
    </r>
  </si>
  <si>
    <r>
      <t>薄荷酒;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威士忌; 餐后酒（利口酒和烈酒）; 葡萄酒; 清酒（日本米酒）; 白酒</t>
    </r>
  </si>
  <si>
    <r>
      <t>成</t>
    </r>
    <r>
      <rPr>
        <sz val="11"/>
        <color theme="1"/>
        <rFont val="ＭＳ Ｐゴシック"/>
        <family val="3"/>
        <charset val="134"/>
        <scheme val="minor"/>
      </rPr>
      <t>义烧</t>
    </r>
    <r>
      <rPr>
        <sz val="11"/>
        <color theme="1"/>
        <rFont val="ＭＳ Ｐゴシック"/>
        <family val="3"/>
        <charset val="128"/>
        <scheme val="minor"/>
      </rPr>
      <t>坊</t>
    </r>
    <r>
      <rPr>
        <sz val="11"/>
        <color theme="1"/>
        <rFont val="ＭＳ Ｐゴシック"/>
        <family val="3"/>
        <charset val="134"/>
        <scheme val="minor"/>
      </rPr>
      <t>鉴赏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</si>
  <si>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薄荷酒;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开胃酒; 清酒（日本米酒）; 餐后酒（利口酒和烈酒）; 威士忌; 白酒; 葡萄酒</t>
    </r>
  </si>
  <si>
    <t>花池渡</t>
  </si>
  <si>
    <t>天津安泰阳光生物科技有限公司</t>
  </si>
  <si>
    <r>
      <t>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开胃酒; 白酒</t>
    </r>
  </si>
  <si>
    <r>
      <t>巡涮</t>
    </r>
    <r>
      <rPr>
        <sz val="11"/>
        <color theme="1"/>
        <rFont val="ＭＳ Ｐゴシック"/>
        <family val="3"/>
        <charset val="134"/>
        <scheme val="minor"/>
      </rPr>
      <t>记</t>
    </r>
  </si>
  <si>
    <r>
      <t>初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宇</t>
    </r>
  </si>
  <si>
    <r>
      <t xml:space="preserve">果酒（含酒精）; 葡萄酒; 威士忌; 黄酒;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利口酒; 苹果酒</t>
    </r>
  </si>
  <si>
    <t>黑峡</t>
  </si>
  <si>
    <t>刘新利</t>
  </si>
  <si>
    <r>
      <t>烈酒; 黄酒; 白酒; 清酒（日本米酒）;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</t>
    </r>
  </si>
  <si>
    <t>JUEPU</t>
  </si>
  <si>
    <t>爵普科技（深圳）有限公司</t>
  </si>
  <si>
    <r>
      <t xml:space="preserve">混合威士忌酒;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甜酒; 水果汽酒; 甜果酒; 烈酒;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高粱酒;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果酒</t>
    </r>
  </si>
  <si>
    <r>
      <t>圣</t>
    </r>
    <r>
      <rPr>
        <sz val="11"/>
        <color theme="1"/>
        <rFont val="ＭＳ Ｐゴシック"/>
        <family val="3"/>
        <charset val="134"/>
        <scheme val="minor"/>
      </rPr>
      <t>长</t>
    </r>
    <r>
      <rPr>
        <sz val="11"/>
        <color theme="1"/>
        <rFont val="ＭＳ Ｐゴシック"/>
        <family val="3"/>
        <charset val="128"/>
        <scheme val="minor"/>
      </rPr>
      <t>健</t>
    </r>
  </si>
  <si>
    <t>叶水娣（******************）</t>
  </si>
  <si>
    <r>
      <t>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开胃酒;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 xml:space="preserve">汁;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</si>
  <si>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万酒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世</t>
    </r>
  </si>
  <si>
    <t>吴雍</t>
  </si>
  <si>
    <r>
      <t xml:space="preserve">白酒;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开胃酒; 果酒（含酒精）; 黄酒;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烈酒</t>
    </r>
  </si>
  <si>
    <r>
      <t>德</t>
    </r>
    <r>
      <rPr>
        <sz val="11"/>
        <color theme="1"/>
        <rFont val="ＭＳ Ｐゴシック"/>
        <family val="3"/>
        <charset val="134"/>
        <scheme val="minor"/>
      </rPr>
      <t>农</t>
    </r>
    <r>
      <rPr>
        <sz val="11"/>
        <color theme="1"/>
        <rFont val="ＭＳ Ｐゴシック"/>
        <family val="3"/>
        <charset val="128"/>
        <scheme val="minor"/>
      </rPr>
      <t>研</t>
    </r>
  </si>
  <si>
    <r>
      <t>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米酒; 白酒;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清酒（日本米酒）</t>
    </r>
  </si>
  <si>
    <r>
      <t>秉乾</t>
    </r>
    <r>
      <rPr>
        <sz val="11"/>
        <color theme="1"/>
        <rFont val="ＭＳ Ｐゴシック"/>
        <family val="3"/>
        <charset val="129"/>
        <scheme val="minor"/>
      </rPr>
      <t>怀</t>
    </r>
  </si>
  <si>
    <r>
      <t>北京荣太和酒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</si>
  <si>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汽酒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</si>
  <si>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窖天樽</t>
    </r>
  </si>
  <si>
    <r>
      <t>杜</t>
    </r>
    <r>
      <rPr>
        <sz val="11"/>
        <color theme="1"/>
        <rFont val="ＭＳ Ｐゴシック"/>
        <family val="3"/>
        <charset val="134"/>
        <scheme val="minor"/>
      </rPr>
      <t>晓辉</t>
    </r>
  </si>
  <si>
    <r>
      <t>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的白酒;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白干酒（中国白酒）;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高粱酒</t>
    </r>
  </si>
  <si>
    <t>裕王吟</t>
  </si>
  <si>
    <t>卓文桐</t>
  </si>
  <si>
    <r>
      <t>葡萄酒; 黄酒; 利口酒; 威士忌; 白酒;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</si>
  <si>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马</t>
    </r>
    <r>
      <rPr>
        <sz val="11"/>
        <color theme="1"/>
        <rFont val="ＭＳ Ｐゴシック"/>
        <family val="3"/>
        <charset val="128"/>
        <scheme val="minor"/>
      </rPr>
      <t>利座</t>
    </r>
  </si>
  <si>
    <r>
      <t>张权</t>
    </r>
    <r>
      <rPr>
        <sz val="11"/>
        <color theme="1"/>
        <rFont val="ＭＳ Ｐゴシック"/>
        <family val="3"/>
        <charset val="128"/>
        <scheme val="minor"/>
      </rPr>
      <t>泉</t>
    </r>
  </si>
  <si>
    <r>
      <t>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清酒（日本米酒）;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黄酒; 开胃酒; 烈酒</t>
    </r>
  </si>
  <si>
    <r>
      <t>香</t>
    </r>
    <r>
      <rPr>
        <sz val="11"/>
        <color theme="1"/>
        <rFont val="ＭＳ Ｐゴシック"/>
        <family val="3"/>
        <charset val="134"/>
        <scheme val="minor"/>
      </rPr>
      <t>雾</t>
    </r>
    <r>
      <rPr>
        <sz val="11"/>
        <color theme="1"/>
        <rFont val="ＭＳ Ｐゴシック"/>
        <family val="3"/>
        <charset val="128"/>
        <scheme val="minor"/>
      </rPr>
      <t>百</t>
    </r>
    <r>
      <rPr>
        <sz val="11"/>
        <color theme="1"/>
        <rFont val="ＭＳ Ｐゴシック"/>
        <family val="3"/>
        <charset val="134"/>
        <scheme val="minor"/>
      </rPr>
      <t>顷</t>
    </r>
  </si>
  <si>
    <r>
      <t>平利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振己堂生物科技有限公司</t>
    </r>
  </si>
  <si>
    <r>
      <t>水果汽酒; 甜果酒;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开胃酒;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白酒; 高粱酒; 蜂蜜酒</t>
    </r>
  </si>
  <si>
    <t>焙合盛</t>
  </si>
  <si>
    <t>合肥焙合盛食品科技有限公司</t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</si>
  <si>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威士忌; 果酒（含酒精）; 薄荷酒;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白酒</t>
    </r>
  </si>
  <si>
    <t>朱紫岩</t>
  </si>
  <si>
    <r>
      <t>福建省升</t>
    </r>
    <r>
      <rPr>
        <sz val="11"/>
        <color theme="1"/>
        <rFont val="ＭＳ Ｐゴシック"/>
        <family val="3"/>
        <charset val="134"/>
        <scheme val="minor"/>
      </rPr>
      <t>创</t>
    </r>
    <r>
      <rPr>
        <sz val="11"/>
        <color theme="1"/>
        <rFont val="ＭＳ Ｐゴシック"/>
        <family val="3"/>
        <charset val="128"/>
        <scheme val="minor"/>
      </rPr>
      <t>建</t>
    </r>
    <r>
      <rPr>
        <sz val="11"/>
        <color theme="1"/>
        <rFont val="ＭＳ Ｐゴシック"/>
        <family val="3"/>
        <charset val="134"/>
        <scheme val="minor"/>
      </rPr>
      <t>设</t>
    </r>
    <r>
      <rPr>
        <sz val="11"/>
        <color theme="1"/>
        <rFont val="ＭＳ Ｐゴシック"/>
        <family val="3"/>
        <charset val="128"/>
        <scheme val="minor"/>
      </rPr>
      <t>工程有限公司</t>
    </r>
  </si>
  <si>
    <r>
      <t>梅酒;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</t>
    </r>
  </si>
  <si>
    <r>
      <t>喜也</t>
    </r>
    <r>
      <rPr>
        <sz val="11"/>
        <color theme="1"/>
        <rFont val="ＭＳ Ｐゴシック"/>
        <family val="3"/>
        <charset val="134"/>
        <scheme val="minor"/>
      </rPr>
      <t>谢</t>
    </r>
  </si>
  <si>
    <t>谢鹏飞</t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</si>
  <si>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利口酒;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开胃酒;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果酒（含酒精）</t>
    </r>
  </si>
  <si>
    <r>
      <t>浩特</t>
    </r>
    <r>
      <rPr>
        <sz val="11"/>
        <color theme="1"/>
        <rFont val="ＭＳ Ｐゴシック"/>
        <family val="3"/>
        <charset val="134"/>
        <scheme val="minor"/>
      </rPr>
      <t>远</t>
    </r>
    <r>
      <rPr>
        <sz val="11"/>
        <color theme="1"/>
        <rFont val="ＭＳ Ｐゴシック"/>
        <family val="3"/>
        <charset val="128"/>
        <scheme val="minor"/>
      </rPr>
      <t>方</t>
    </r>
  </si>
  <si>
    <t>合肥浩特生物科技有限公司</t>
  </si>
  <si>
    <r>
      <t>米酒; 食用酒精; 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白酒; 烈酒;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蜂蜜酒;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</si>
  <si>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t>俏花豹</t>
  </si>
  <si>
    <r>
      <t>陈</t>
    </r>
    <r>
      <rPr>
        <sz val="11"/>
        <color theme="1"/>
        <rFont val="ＭＳ Ｐゴシック"/>
        <family val="3"/>
        <charset val="128"/>
        <scheme val="minor"/>
      </rPr>
      <t>六</t>
    </r>
    <r>
      <rPr>
        <sz val="11"/>
        <color theme="1"/>
        <rFont val="ＭＳ Ｐゴシック"/>
        <family val="3"/>
        <charset val="134"/>
        <scheme val="minor"/>
      </rPr>
      <t>华</t>
    </r>
  </si>
  <si>
    <r>
      <t>白酒;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蜂蜜酒; 葡萄酒;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开胃酒; 利口酒; 黄酒; 果酒（含酒精）</t>
    </r>
  </si>
  <si>
    <r>
      <t>贞</t>
    </r>
    <r>
      <rPr>
        <sz val="11"/>
        <color theme="1"/>
        <rFont val="ＭＳ Ｐゴシック"/>
        <family val="3"/>
        <charset val="129"/>
        <scheme val="minor"/>
      </rPr>
      <t>胜</t>
    </r>
  </si>
  <si>
    <r>
      <t>林盛</t>
    </r>
    <r>
      <rPr>
        <sz val="11"/>
        <color theme="1"/>
        <rFont val="ＭＳ Ｐゴシック"/>
        <family val="3"/>
        <charset val="129"/>
        <scheme val="minor"/>
      </rPr>
      <t>强</t>
    </r>
  </si>
  <si>
    <r>
      <t>黄酒; 米酒; 果酒（含酒精）; 青稞酒; 清酒（日本米酒）; 白酒; 葡萄酒; 蒸煮提取物（利口酒和烈酒）;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烈酒</t>
    </r>
  </si>
  <si>
    <r>
      <t>毡房老</t>
    </r>
    <r>
      <rPr>
        <sz val="11"/>
        <color theme="1"/>
        <rFont val="ＭＳ Ｐゴシック"/>
        <family val="3"/>
        <charset val="134"/>
        <scheme val="minor"/>
      </rPr>
      <t>农</t>
    </r>
  </si>
  <si>
    <r>
      <t>孙</t>
    </r>
    <r>
      <rPr>
        <sz val="11"/>
        <color theme="1"/>
        <rFont val="ＭＳ Ｐゴシック"/>
        <family val="3"/>
        <charset val="128"/>
        <scheme val="minor"/>
      </rPr>
      <t>亮</t>
    </r>
  </si>
  <si>
    <r>
      <t>果酒（含酒精）; 蜂蜜酒;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 xml:space="preserve">汁; 白酒; 苹果酒;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</si>
  <si>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文家亮</t>
  </si>
  <si>
    <r>
      <t>成都小溪流餐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</si>
  <si>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 xml:space="preserve">烈酒; 威士忌; 葡萄酒;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伏特加酒; 加烈葡萄酒;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</t>
    </r>
  </si>
  <si>
    <r>
      <t>诃</t>
    </r>
    <r>
      <rPr>
        <sz val="11"/>
        <color theme="1"/>
        <rFont val="ＭＳ Ｐゴシック"/>
        <family val="3"/>
        <charset val="128"/>
        <scheme val="minor"/>
      </rPr>
      <t>臼</t>
    </r>
  </si>
  <si>
    <r>
      <t>亳州醉泉坊酒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</si>
  <si>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果酒; 高粱酒;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米酒;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露酒;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葡萄酒</t>
    </r>
  </si>
  <si>
    <r>
      <t>御</t>
    </r>
    <r>
      <rPr>
        <sz val="11"/>
        <color theme="1"/>
        <rFont val="ＭＳ Ｐゴシック"/>
        <family val="3"/>
        <charset val="134"/>
        <scheme val="minor"/>
      </rPr>
      <t>贵</t>
    </r>
    <r>
      <rPr>
        <sz val="11"/>
        <color theme="1"/>
        <rFont val="ＭＳ Ｐゴシック"/>
        <family val="3"/>
        <charset val="128"/>
        <scheme val="minor"/>
      </rPr>
      <t>人（杭州）酒</t>
    </r>
    <r>
      <rPr>
        <sz val="11"/>
        <color theme="1"/>
        <rFont val="ＭＳ Ｐゴシック"/>
        <family val="3"/>
        <charset val="134"/>
        <scheme val="minor"/>
      </rPr>
      <t>类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</si>
  <si>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黄酒;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果酒（含酒精）</t>
    </r>
  </si>
  <si>
    <t>邵商聚</t>
  </si>
  <si>
    <r>
      <t>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餐后酒（利口酒和烈酒）; 果酒（含酒精）;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</si>
  <si>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粮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年</t>
    </r>
  </si>
  <si>
    <r>
      <t>西安市</t>
    </r>
    <r>
      <rPr>
        <sz val="11"/>
        <color theme="1"/>
        <rFont val="ＭＳ Ｐゴシック"/>
        <family val="3"/>
        <charset val="134"/>
        <scheme val="minor"/>
      </rPr>
      <t>莲</t>
    </r>
    <r>
      <rPr>
        <sz val="11"/>
        <color theme="1"/>
        <rFont val="ＭＳ Ｐゴシック"/>
        <family val="3"/>
        <charset val="128"/>
        <scheme val="minor"/>
      </rPr>
      <t>湖区兮</t>
    </r>
    <r>
      <rPr>
        <sz val="11"/>
        <color theme="1"/>
        <rFont val="ＭＳ Ｐゴシック"/>
        <family val="3"/>
        <charset val="134"/>
        <scheme val="minor"/>
      </rPr>
      <t>丽</t>
    </r>
    <r>
      <rPr>
        <sz val="11"/>
        <color theme="1"/>
        <rFont val="ＭＳ Ｐゴシック"/>
        <family val="3"/>
        <charset val="128"/>
        <scheme val="minor"/>
      </rPr>
      <t>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部(个体工商</t>
    </r>
    <r>
      <rPr>
        <sz val="11"/>
        <color theme="1"/>
        <rFont val="ＭＳ Ｐゴシック"/>
        <family val="3"/>
        <charset val="134"/>
        <scheme val="minor"/>
      </rPr>
      <t>户</t>
    </r>
    <r>
      <rPr>
        <sz val="11"/>
        <color theme="1"/>
        <rFont val="ＭＳ Ｐゴシック"/>
        <family val="3"/>
        <charset val="128"/>
        <scheme val="minor"/>
      </rPr>
      <t>)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</si>
  <si>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酒（烈酒）; 食用酒精; 米酒; 蒸煮提取物（利口酒和烈酒）;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 xml:space="preserve">汁;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</t>
    </r>
  </si>
  <si>
    <r>
      <t>晋</t>
    </r>
    <r>
      <rPr>
        <sz val="11"/>
        <color theme="1"/>
        <rFont val="ＭＳ Ｐゴシック"/>
        <family val="3"/>
        <charset val="134"/>
        <scheme val="minor"/>
      </rPr>
      <t>鸣</t>
    </r>
    <r>
      <rPr>
        <sz val="11"/>
        <color theme="1"/>
        <rFont val="ＭＳ Ｐゴシック"/>
        <family val="3"/>
        <charset val="128"/>
        <scheme val="minor"/>
      </rPr>
      <t>王</t>
    </r>
  </si>
  <si>
    <r>
      <t>潞城市</t>
    </r>
    <r>
      <rPr>
        <sz val="11"/>
        <color theme="1"/>
        <rFont val="ＭＳ Ｐゴシック"/>
        <family val="3"/>
        <charset val="134"/>
        <scheme val="minor"/>
      </rPr>
      <t>亚红</t>
    </r>
    <r>
      <rPr>
        <sz val="11"/>
        <color theme="1"/>
        <rFont val="ＭＳ Ｐゴシック"/>
        <family val="3"/>
        <charset val="128"/>
        <scheme val="minor"/>
      </rPr>
      <t>鑫商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</si>
  <si>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高粱酒;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白干酒（中国白酒）;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白酒; 烈酒; 米酒;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</si>
  <si>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和航TUNYSAIL</t>
  </si>
  <si>
    <r>
      <t>和航（上海）投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</si>
  <si>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白酒; 威士忌;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清酒（日本米酒）; 米酒</t>
    </r>
  </si>
  <si>
    <t>好之福熙</t>
  </si>
  <si>
    <r>
      <t>北京三奇加</t>
    </r>
    <r>
      <rPr>
        <sz val="11"/>
        <color theme="1"/>
        <rFont val="ＭＳ Ｐゴシック"/>
        <family val="3"/>
        <charset val="134"/>
        <scheme val="minor"/>
      </rPr>
      <t>汇</t>
    </r>
    <r>
      <rPr>
        <sz val="11"/>
        <color theme="1"/>
        <rFont val="ＭＳ Ｐゴシック"/>
        <family val="3"/>
        <charset val="128"/>
        <scheme val="minor"/>
      </rPr>
      <t>信息咨</t>
    </r>
    <r>
      <rPr>
        <sz val="11"/>
        <color theme="1"/>
        <rFont val="ＭＳ Ｐゴシック"/>
        <family val="3"/>
        <charset val="134"/>
        <scheme val="minor"/>
      </rPr>
      <t>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</si>
  <si>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米酒; 白酒; 苦味酒; 葡萄酒; 黄酒;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</t>
    </r>
  </si>
  <si>
    <t>刺力皇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</si>
  <si>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州老不管食品有限公司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</si>
  <si>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甜酒; 果酒; 黄酒; 米酒; 佐餐酒; 清酒（日本米酒）; 白酒; 汽酒; 食用酒精</t>
    </r>
  </si>
  <si>
    <t>荼火般般</t>
  </si>
  <si>
    <r>
      <t>河北荼火般般餐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服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</si>
  <si>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薄荷酒;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清酒（日本米酒）; 白酒; 果酒（含酒精）; 葡萄酒;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</t>
    </r>
  </si>
  <si>
    <r>
      <t>宫</t>
    </r>
    <r>
      <rPr>
        <sz val="11"/>
        <color theme="1"/>
        <rFont val="ＭＳ Ｐゴシック"/>
        <family val="3"/>
        <charset val="128"/>
        <scheme val="minor"/>
      </rPr>
      <t>慈</t>
    </r>
  </si>
  <si>
    <r>
      <t>刘</t>
    </r>
    <r>
      <rPr>
        <sz val="11"/>
        <color theme="1"/>
        <rFont val="ＭＳ Ｐゴシック"/>
        <family val="3"/>
        <charset val="134"/>
        <scheme val="minor"/>
      </rPr>
      <t>伟</t>
    </r>
  </si>
  <si>
    <r>
      <t>白干酒（中国白酒）; 果酒; 清酒; 葡萄酒; 甜酒; 五加皮酒（中国混合烈酒）; 干型苹果酒; 白酒;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</t>
    </r>
  </si>
  <si>
    <t>紫府燕玉</t>
  </si>
  <si>
    <t>安徽杏林金方生物科技有限公司</t>
  </si>
  <si>
    <r>
      <t xml:space="preserve">苹果酒; 果酒（含酒精）;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威士忌; 青稞酒;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</si>
  <si>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御</t>
    </r>
    <r>
      <rPr>
        <sz val="11"/>
        <color theme="1"/>
        <rFont val="ＭＳ Ｐゴシック"/>
        <family val="3"/>
        <charset val="134"/>
        <scheme val="minor"/>
      </rPr>
      <t>鸣</t>
    </r>
    <r>
      <rPr>
        <sz val="11"/>
        <color theme="1"/>
        <rFont val="ＭＳ Ｐゴシック"/>
        <family val="3"/>
        <charset val="128"/>
        <scheme val="minor"/>
      </rPr>
      <t>禄</t>
    </r>
  </si>
  <si>
    <t>熊明洋</t>
  </si>
  <si>
    <r>
      <t xml:space="preserve">果酒（含酒精）; 露酒; 开胃酒; 果酒; </t>
    </r>
    <r>
      <rPr>
        <sz val="11"/>
        <color theme="1"/>
        <rFont val="ＭＳ Ｐゴシック"/>
        <family val="3"/>
        <charset val="134"/>
        <scheme val="minor"/>
      </rPr>
      <t>预调</t>
    </r>
    <r>
      <rPr>
        <sz val="11"/>
        <color theme="1"/>
        <rFont val="ＭＳ Ｐゴシック"/>
        <family val="3"/>
        <charset val="128"/>
        <scheme val="minor"/>
      </rPr>
      <t xml:space="preserve">甜酒; 白干酒（中国白酒）;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高粱酒; 白酒; 葡萄酒</t>
    </r>
  </si>
  <si>
    <r>
      <t>龙</t>
    </r>
    <r>
      <rPr>
        <sz val="11"/>
        <color theme="1"/>
        <rFont val="ＭＳ Ｐゴシック"/>
        <family val="3"/>
        <charset val="128"/>
        <scheme val="minor"/>
      </rPr>
      <t>元集</t>
    </r>
  </si>
  <si>
    <t>四川气色堂健康管理有限公司</t>
  </si>
  <si>
    <r>
      <t>果酒（含酒精）;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青稞酒;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白酒</t>
    </r>
  </si>
  <si>
    <r>
      <t>汉</t>
    </r>
    <r>
      <rPr>
        <sz val="11"/>
        <color theme="1"/>
        <rFont val="ＭＳ Ｐゴシック"/>
        <family val="3"/>
        <charset val="128"/>
        <scheme val="minor"/>
      </rPr>
      <t>安天</t>
    </r>
    <r>
      <rPr>
        <sz val="11"/>
        <color theme="1"/>
        <rFont val="ＭＳ Ｐゴシック"/>
        <family val="3"/>
        <charset val="134"/>
        <scheme val="minor"/>
      </rPr>
      <t>润</t>
    </r>
  </si>
  <si>
    <r>
      <t>四川省内江市星光青台</t>
    </r>
    <r>
      <rPr>
        <sz val="11"/>
        <color theme="1"/>
        <rFont val="ＭＳ Ｐゴシック"/>
        <family val="3"/>
        <charset val="134"/>
        <scheme val="minor"/>
      </rPr>
      <t>农业</t>
    </r>
    <r>
      <rPr>
        <sz val="11"/>
        <color theme="1"/>
        <rFont val="ＭＳ Ｐゴシック"/>
        <family val="3"/>
        <charset val="128"/>
        <scheme val="minor"/>
      </rPr>
      <t>科技有限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</si>
  <si>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汽酒; 白酒; 威士忌</t>
    </r>
  </si>
  <si>
    <t>牧校情</t>
  </si>
  <si>
    <r>
      <t>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天宇生物科技有限公司</t>
    </r>
  </si>
  <si>
    <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朗姆酒;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葡萄酒;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</t>
    </r>
  </si>
  <si>
    <r>
      <t>广州泰菲拉供</t>
    </r>
    <r>
      <rPr>
        <sz val="11"/>
        <color theme="1"/>
        <rFont val="ＭＳ Ｐゴシック"/>
        <family val="3"/>
        <charset val="134"/>
        <scheme val="minor"/>
      </rPr>
      <t>应链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</si>
  <si>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威士忌; 果酒; 水果汽酒; 白酒; 蜂蜜酒;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</t>
    </r>
  </si>
  <si>
    <t>凤鸾飞</t>
  </si>
  <si>
    <r>
      <t>任丘市冀</t>
    </r>
    <r>
      <rPr>
        <sz val="11"/>
        <color theme="1"/>
        <rFont val="ＭＳ Ｐゴシック"/>
        <family val="3"/>
        <charset val="134"/>
        <scheme val="minor"/>
      </rPr>
      <t>图</t>
    </r>
    <r>
      <rPr>
        <sz val="11"/>
        <color theme="1"/>
        <rFont val="ＭＳ Ｐゴシック"/>
        <family val="3"/>
        <charset val="128"/>
        <scheme val="minor"/>
      </rPr>
      <t>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</si>
  <si>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含酒精的充气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白干酒（中国白酒）; 白酒; 烈酒; 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黄酒</t>
    </r>
  </si>
  <si>
    <t>鹿膳凰</t>
  </si>
  <si>
    <r>
      <t xml:space="preserve">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</si>
  <si>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时</t>
    </r>
    <r>
      <rPr>
        <sz val="11"/>
        <color theme="1"/>
        <rFont val="ＭＳ Ｐゴシック"/>
        <family val="3"/>
        <charset val="128"/>
        <scheme val="minor"/>
      </rPr>
      <t>三友</t>
    </r>
  </si>
  <si>
    <r>
      <t>马</t>
    </r>
    <r>
      <rPr>
        <sz val="11"/>
        <color theme="1"/>
        <rFont val="ＭＳ Ｐゴシック"/>
        <family val="3"/>
        <charset val="128"/>
        <scheme val="minor"/>
      </rPr>
      <t>海</t>
    </r>
    <r>
      <rPr>
        <sz val="11"/>
        <color theme="1"/>
        <rFont val="ＭＳ Ｐゴシック"/>
        <family val="3"/>
        <charset val="134"/>
        <scheme val="minor"/>
      </rPr>
      <t>龙</t>
    </r>
  </si>
  <si>
    <r>
      <t>果酒（含酒精）; 黄酒; 蜂蜜酒;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 xml:space="preserve">汁; 青稞酒;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</si>
  <si>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米酒; 黄酒; 葡萄酒; 白酒; 果酒（含酒精）; 苹果酒;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青稞酒;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</si>
  <si>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稻粮</t>
    </r>
    <r>
      <rPr>
        <sz val="11"/>
        <color theme="1"/>
        <rFont val="ＭＳ Ｐゴシック"/>
        <family val="3"/>
        <charset val="134"/>
        <scheme val="minor"/>
      </rPr>
      <t>浔</t>
    </r>
  </si>
  <si>
    <r>
      <t>谷城</t>
    </r>
    <r>
      <rPr>
        <sz val="11"/>
        <color theme="1"/>
        <rFont val="ＭＳ Ｐゴシック"/>
        <family val="3"/>
        <charset val="134"/>
        <scheme val="minor"/>
      </rPr>
      <t>县缘</t>
    </r>
    <r>
      <rPr>
        <sz val="11"/>
        <color theme="1"/>
        <rFont val="ＭＳ Ｐゴシック"/>
        <family val="3"/>
        <charset val="128"/>
        <scheme val="minor"/>
      </rPr>
      <t>希君商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店(个体工商</t>
    </r>
    <r>
      <rPr>
        <sz val="11"/>
        <color theme="1"/>
        <rFont val="ＭＳ Ｐゴシック"/>
        <family val="3"/>
        <charset val="134"/>
        <scheme val="minor"/>
      </rPr>
      <t>户</t>
    </r>
    <r>
      <rPr>
        <sz val="11"/>
        <color theme="1"/>
        <rFont val="ＭＳ Ｐゴシック"/>
        <family val="3"/>
        <charset val="128"/>
        <scheme val="minor"/>
      </rPr>
      <t>)</t>
    </r>
  </si>
  <si>
    <r>
      <t>黄酒;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 xml:space="preserve">汁; 葡萄酒; 蒸煮提取物（利口酒和烈酒）;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</t>
    </r>
  </si>
  <si>
    <t>塞醉月</t>
  </si>
  <si>
    <r>
      <t>谷城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墨冬昕商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店(个体工商</t>
    </r>
    <r>
      <rPr>
        <sz val="11"/>
        <color theme="1"/>
        <rFont val="ＭＳ Ｐゴシック"/>
        <family val="3"/>
        <charset val="134"/>
        <scheme val="minor"/>
      </rPr>
      <t>户</t>
    </r>
    <r>
      <rPr>
        <sz val="11"/>
        <color theme="1"/>
        <rFont val="ＭＳ Ｐゴシック"/>
        <family val="3"/>
        <charset val="128"/>
        <scheme val="minor"/>
      </rPr>
      <t>)</t>
    </r>
  </si>
  <si>
    <t>博德森</t>
  </si>
  <si>
    <r>
      <t>王嘉</t>
    </r>
    <r>
      <rPr>
        <sz val="11"/>
        <color theme="1"/>
        <rFont val="ＭＳ Ｐゴシック"/>
        <family val="3"/>
        <charset val="134"/>
        <scheme val="minor"/>
      </rPr>
      <t>诚</t>
    </r>
  </si>
  <si>
    <r>
      <t>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</t>
    </r>
  </si>
  <si>
    <t>君天金</t>
  </si>
  <si>
    <r>
      <t>章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晟</t>
    </r>
  </si>
  <si>
    <r>
      <t xml:space="preserve">米酒; 果酒（含酒精）; 葡萄酒; 白酒;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黄酒; 清酒（日本米酒）;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</si>
  <si>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邵商达</t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</si>
  <si>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餐后酒（利口酒和烈酒）;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</si>
  <si>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t>御福致</t>
  </si>
  <si>
    <t>李家益</t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</si>
  <si>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清酒（日本米酒）;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果酒（含酒精）; 威士忌; 米酒; 开胃酒</t>
    </r>
  </si>
  <si>
    <t>旭帆泥湖</t>
  </si>
  <si>
    <r>
      <t>上海旭帆</t>
    </r>
    <r>
      <rPr>
        <sz val="11"/>
        <color theme="1"/>
        <rFont val="ＭＳ Ｐゴシック"/>
        <family val="3"/>
        <charset val="134"/>
        <scheme val="minor"/>
      </rPr>
      <t>贝</t>
    </r>
    <r>
      <rPr>
        <sz val="11"/>
        <color theme="1"/>
        <rFont val="ＭＳ Ｐゴシック"/>
        <family val="3"/>
        <charset val="128"/>
        <scheme val="minor"/>
      </rPr>
      <t>企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</si>
  <si>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食用酒精; 开胃酒; 利口酒; 清酒（日本米酒）; 米酒; 白酒</t>
    </r>
  </si>
  <si>
    <r>
      <t>江窖</t>
    </r>
    <r>
      <rPr>
        <sz val="11"/>
        <color theme="1"/>
        <rFont val="ＭＳ Ｐゴシック"/>
        <family val="3"/>
        <charset val="134"/>
        <scheme val="minor"/>
      </rPr>
      <t>浔</t>
    </r>
  </si>
  <si>
    <t>唐大明</t>
  </si>
  <si>
    <r>
      <t xml:space="preserve">米酒; 白酒; 蒸煮提取物（利口酒和烈酒）; 黄酒; 食用酒精;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</t>
    </r>
  </si>
  <si>
    <r>
      <t>邵商</t>
    </r>
    <r>
      <rPr>
        <sz val="11"/>
        <color theme="1"/>
        <rFont val="ＭＳ Ｐゴシック"/>
        <family val="3"/>
        <charset val="134"/>
        <scheme val="minor"/>
      </rPr>
      <t>畅</t>
    </r>
  </si>
  <si>
    <r>
      <t>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餐后酒（利口酒和烈酒）;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</si>
  <si>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衡守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坊</t>
    </r>
  </si>
  <si>
    <r>
      <t xml:space="preserve">葡萄酒; 白酒;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果酒（含酒精）</t>
    </r>
  </si>
  <si>
    <r>
      <t>亿顺</t>
    </r>
    <r>
      <rPr>
        <sz val="11"/>
        <color theme="1"/>
        <rFont val="ＭＳ Ｐゴシック"/>
        <family val="3"/>
        <charset val="128"/>
        <scheme val="minor"/>
      </rPr>
      <t>隆</t>
    </r>
  </si>
  <si>
    <r>
      <t>临</t>
    </r>
    <r>
      <rPr>
        <sz val="11"/>
        <color theme="1"/>
        <rFont val="ＭＳ Ｐゴシック"/>
        <family val="3"/>
        <charset val="128"/>
        <scheme val="minor"/>
      </rPr>
      <t>沂</t>
    </r>
    <r>
      <rPr>
        <sz val="11"/>
        <color theme="1"/>
        <rFont val="ＭＳ Ｐゴシック"/>
        <family val="3"/>
        <charset val="134"/>
        <scheme val="minor"/>
      </rPr>
      <t>亿顺</t>
    </r>
    <r>
      <rPr>
        <sz val="11"/>
        <color theme="1"/>
        <rFont val="ＭＳ Ｐゴシック"/>
        <family val="3"/>
        <charset val="128"/>
        <scheme val="minor"/>
      </rPr>
      <t>隆酒店用品有限公司</t>
    </r>
  </si>
  <si>
    <r>
      <t>薄荷酒; 开胃酒; 苹果酒; 杜松子酒;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朗姆酒; 黄酒; 青稞酒;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</t>
    </r>
  </si>
  <si>
    <r>
      <t>绍</t>
    </r>
    <r>
      <rPr>
        <sz val="11"/>
        <color theme="1"/>
        <rFont val="ＭＳ Ｐゴシック"/>
        <family val="3"/>
        <charset val="128"/>
        <scheme val="minor"/>
      </rPr>
      <t>佰味</t>
    </r>
  </si>
  <si>
    <r>
      <t>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烈酒;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黄酒; 开胃酒; 威士忌; 米酒; 白酒</t>
    </r>
  </si>
  <si>
    <r>
      <t>库</t>
    </r>
    <r>
      <rPr>
        <sz val="11"/>
        <color theme="1"/>
        <rFont val="ＭＳ Ｐゴシック"/>
        <family val="3"/>
        <charset val="128"/>
        <scheme val="minor"/>
      </rPr>
      <t>可</t>
    </r>
    <r>
      <rPr>
        <sz val="11"/>
        <color theme="1"/>
        <rFont val="ＭＳ Ｐゴシック"/>
        <family val="3"/>
        <charset val="134"/>
        <scheme val="minor"/>
      </rPr>
      <t>兰</t>
    </r>
  </si>
  <si>
    <r>
      <t>喀什中喀</t>
    </r>
    <r>
      <rPr>
        <sz val="11"/>
        <color theme="1"/>
        <rFont val="ＭＳ Ｐゴシック"/>
        <family val="3"/>
        <charset val="134"/>
        <scheme val="minor"/>
      </rPr>
      <t>农产</t>
    </r>
    <r>
      <rPr>
        <sz val="11"/>
        <color theme="1"/>
        <rFont val="ＭＳ Ｐゴシック"/>
        <family val="3"/>
        <charset val="128"/>
        <scheme val="minor"/>
      </rPr>
      <t>品有限公司</t>
    </r>
  </si>
  <si>
    <r>
      <t>薄荷酒;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蜂蜜酒;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食用酒精;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汽酒</t>
    </r>
  </si>
  <si>
    <t>至尊葆藏</t>
  </si>
  <si>
    <r>
      <t>玉</t>
    </r>
    <r>
      <rPr>
        <sz val="11"/>
        <color theme="1"/>
        <rFont val="ＭＳ Ｐゴシック"/>
        <family val="3"/>
        <charset val="134"/>
        <scheme val="minor"/>
      </rPr>
      <t>树</t>
    </r>
    <r>
      <rPr>
        <sz val="11"/>
        <color theme="1"/>
        <rFont val="ＭＳ Ｐゴシック"/>
        <family val="3"/>
        <charset val="128"/>
        <scheme val="minor"/>
      </rPr>
      <t>市高寒生物科技有限公司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</si>
  <si>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白酒; 食用酒精; 米酒; 黄酒;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</si>
  <si>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捞</t>
    </r>
    <r>
      <rPr>
        <sz val="11"/>
        <color theme="1"/>
        <rFont val="ＭＳ Ｐゴシック"/>
        <family val="3"/>
        <charset val="128"/>
        <scheme val="minor"/>
      </rPr>
      <t>福来</t>
    </r>
  </si>
  <si>
    <r>
      <t>青</t>
    </r>
    <r>
      <rPr>
        <sz val="11"/>
        <color theme="1"/>
        <rFont val="ＭＳ Ｐゴシック"/>
        <family val="3"/>
        <charset val="134"/>
        <scheme val="minor"/>
      </rPr>
      <t>龙满</t>
    </r>
    <r>
      <rPr>
        <sz val="11"/>
        <color theme="1"/>
        <rFont val="ＭＳ Ｐゴシック"/>
        <family val="3"/>
        <charset val="128"/>
        <scheme val="minor"/>
      </rPr>
      <t>族自治</t>
    </r>
    <r>
      <rPr>
        <sz val="11"/>
        <color theme="1"/>
        <rFont val="ＭＳ Ｐゴシック"/>
        <family val="3"/>
        <charset val="134"/>
        <scheme val="minor"/>
      </rPr>
      <t>县捞</t>
    </r>
    <r>
      <rPr>
        <sz val="11"/>
        <color theme="1"/>
        <rFont val="ＭＳ Ｐゴシック"/>
        <family val="3"/>
        <charset val="128"/>
        <scheme val="minor"/>
      </rPr>
      <t>福来餐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服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</si>
  <si>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青稞酒; 果酒（含酒精）; 开胃酒; 苹果酒; 白酒; 米酒;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</t>
    </r>
  </si>
  <si>
    <t>稀之美</t>
  </si>
  <si>
    <t>稀之美（湖北）生物科技有限公司</t>
  </si>
  <si>
    <r>
      <t>开胃酒; 苹果酒; 蒸煮提取物（利口酒和烈酒）; 葡萄酒;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</t>
    </r>
  </si>
  <si>
    <r>
      <t>曹</t>
    </r>
    <r>
      <rPr>
        <sz val="11"/>
        <color theme="1"/>
        <rFont val="ＭＳ Ｐゴシック"/>
        <family val="3"/>
        <charset val="134"/>
        <scheme val="minor"/>
      </rPr>
      <t>兴</t>
    </r>
    <r>
      <rPr>
        <sz val="11"/>
        <color theme="1"/>
        <rFont val="ＭＳ Ｐゴシック"/>
        <family val="3"/>
        <charset val="128"/>
        <scheme val="minor"/>
      </rPr>
      <t>运盛</t>
    </r>
  </si>
  <si>
    <r>
      <t>山</t>
    </r>
    <r>
      <rPr>
        <sz val="11"/>
        <color theme="1"/>
        <rFont val="ＭＳ Ｐゴシック"/>
        <family val="3"/>
        <charset val="134"/>
        <scheme val="minor"/>
      </rPr>
      <t>东潍县</t>
    </r>
    <r>
      <rPr>
        <sz val="11"/>
        <color theme="1"/>
        <rFont val="ＭＳ Ｐゴシック"/>
        <family val="3"/>
        <charset val="128"/>
        <scheme val="minor"/>
      </rPr>
      <t>景</t>
    </r>
    <r>
      <rPr>
        <sz val="11"/>
        <color theme="1"/>
        <rFont val="ＭＳ Ｐゴシック"/>
        <family val="3"/>
        <charset val="134"/>
        <scheme val="minor"/>
      </rPr>
      <t>艺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</si>
  <si>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伏特加酒; 黄酒; 果酒（含酒精）; 食用酒精; 朗姆酒</t>
    </r>
  </si>
  <si>
    <t>精穗</t>
  </si>
  <si>
    <r>
      <t>梁</t>
    </r>
    <r>
      <rPr>
        <sz val="11"/>
        <color theme="1"/>
        <rFont val="ＭＳ Ｐゴシック"/>
        <family val="3"/>
        <charset val="134"/>
        <scheme val="minor"/>
      </rPr>
      <t>远</t>
    </r>
    <r>
      <rPr>
        <sz val="11"/>
        <color theme="1"/>
        <rFont val="ＭＳ Ｐゴシック"/>
        <family val="3"/>
        <charset val="128"/>
        <scheme val="minor"/>
      </rPr>
      <t>勇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</si>
  <si>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米酒; 白酒; 食用酒精;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蜂蜜酒;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葡萄酒</t>
    </r>
  </si>
  <si>
    <t>廖公山</t>
  </si>
  <si>
    <r>
      <t>上海廖公山</t>
    </r>
    <r>
      <rPr>
        <sz val="11"/>
        <color theme="1"/>
        <rFont val="ＭＳ Ｐゴシック"/>
        <family val="3"/>
        <charset val="134"/>
        <scheme val="minor"/>
      </rPr>
      <t>实业发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</si>
  <si>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 xml:space="preserve">葡萄酒; 米酒; 清酒（日本米酒）; 威士忌;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伏特加酒</t>
    </r>
  </si>
  <si>
    <t>西渚云湖</t>
  </si>
  <si>
    <r>
      <t>宜</t>
    </r>
    <r>
      <rPr>
        <sz val="11"/>
        <color theme="1"/>
        <rFont val="ＭＳ Ｐゴシック"/>
        <family val="3"/>
        <charset val="134"/>
        <scheme val="minor"/>
      </rPr>
      <t>兴</t>
    </r>
    <r>
      <rPr>
        <sz val="11"/>
        <color theme="1"/>
        <rFont val="ＭＳ Ｐゴシック"/>
        <family val="3"/>
        <charset val="128"/>
        <scheme val="minor"/>
      </rPr>
      <t>市云湖茶禅</t>
    </r>
    <r>
      <rPr>
        <sz val="11"/>
        <color theme="1"/>
        <rFont val="ＭＳ Ｐゴシック"/>
        <family val="3"/>
        <charset val="134"/>
        <scheme val="minor"/>
      </rPr>
      <t>农业发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</si>
  <si>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白酒; 米酒; 汽酒;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</si>
  <si>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朦侘侘</t>
  </si>
  <si>
    <r>
      <t>佛山市</t>
    </r>
    <r>
      <rPr>
        <sz val="11"/>
        <color theme="1"/>
        <rFont val="ＭＳ Ｐゴシック"/>
        <family val="3"/>
        <charset val="134"/>
        <scheme val="minor"/>
      </rPr>
      <t>视</t>
    </r>
    <r>
      <rPr>
        <sz val="11"/>
        <color theme="1"/>
        <rFont val="ＭＳ Ｐゴシック"/>
        <family val="3"/>
        <charset val="128"/>
        <scheme val="minor"/>
      </rPr>
      <t>道</t>
    </r>
    <r>
      <rPr>
        <sz val="11"/>
        <color theme="1"/>
        <rFont val="ＭＳ Ｐゴシック"/>
        <family val="3"/>
        <charset val="134"/>
        <scheme val="minor"/>
      </rPr>
      <t>环艺设计</t>
    </r>
    <r>
      <rPr>
        <sz val="11"/>
        <color theme="1"/>
        <rFont val="ＭＳ Ｐゴシック"/>
        <family val="3"/>
        <charset val="128"/>
        <scheme val="minor"/>
      </rPr>
      <t>工程配套有限公司</t>
    </r>
  </si>
  <si>
    <r>
      <t>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 xml:space="preserve">汁;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水果汽酒; 白酒;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</si>
  <si>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能人</t>
  </si>
  <si>
    <t>董宇</t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</si>
  <si>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黄酒; 高粱酒;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食用酒精; 蜂蜜酒; 果酒（含酒精）; 米酒</t>
    </r>
  </si>
  <si>
    <r>
      <t>纪</t>
    </r>
    <r>
      <rPr>
        <sz val="11"/>
        <color theme="1"/>
        <rFont val="ＭＳ Ｐゴシック"/>
        <family val="3"/>
        <charset val="128"/>
        <scheme val="minor"/>
      </rPr>
      <t>礼</t>
    </r>
  </si>
  <si>
    <r>
      <t>华</t>
    </r>
    <r>
      <rPr>
        <sz val="11"/>
        <color theme="1"/>
        <rFont val="ＭＳ Ｐゴシック"/>
        <family val="3"/>
        <charset val="128"/>
        <scheme val="minor"/>
      </rPr>
      <t>粤</t>
    </r>
    <r>
      <rPr>
        <sz val="11"/>
        <color theme="1"/>
        <rFont val="ＭＳ Ｐゴシック"/>
        <family val="3"/>
        <charset val="134"/>
        <scheme val="minor"/>
      </rPr>
      <t>铭</t>
    </r>
    <r>
      <rPr>
        <sz val="11"/>
        <color theme="1"/>
        <rFont val="ＭＳ Ｐゴシック"/>
        <family val="3"/>
        <charset val="128"/>
        <scheme val="minor"/>
      </rPr>
      <t>品</t>
    </r>
    <r>
      <rPr>
        <sz val="11"/>
        <color theme="1"/>
        <rFont val="ＭＳ Ｐゴシック"/>
        <family val="3"/>
        <charset val="134"/>
        <scheme val="minor"/>
      </rPr>
      <t>电</t>
    </r>
    <r>
      <rPr>
        <sz val="11"/>
        <color theme="1"/>
        <rFont val="ＭＳ Ｐゴシック"/>
        <family val="3"/>
        <charset val="128"/>
        <scheme val="minor"/>
      </rPr>
      <t>子商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(广州)有限公司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</si>
  <si>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果酒（含酒精）; 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米酒;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白酒</t>
    </r>
  </si>
  <si>
    <t>旅子登</t>
  </si>
  <si>
    <r>
      <t>天台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森霖汽</t>
    </r>
    <r>
      <rPr>
        <sz val="11"/>
        <color theme="1"/>
        <rFont val="ＭＳ Ｐゴシック"/>
        <family val="3"/>
        <charset val="134"/>
        <scheme val="minor"/>
      </rPr>
      <t>车</t>
    </r>
    <r>
      <rPr>
        <sz val="11"/>
        <color theme="1"/>
        <rFont val="ＭＳ Ｐゴシック"/>
        <family val="3"/>
        <charset val="128"/>
        <scheme val="minor"/>
      </rPr>
      <t>用品有限公司</t>
    </r>
  </si>
  <si>
    <r>
      <t>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青稞酒; 黄酒; 食用酒精; 米酒</t>
    </r>
  </si>
  <si>
    <r>
      <t>林</t>
    </r>
    <r>
      <rPr>
        <sz val="11"/>
        <color theme="1"/>
        <rFont val="ＭＳ Ｐゴシック"/>
        <family val="3"/>
        <charset val="134"/>
        <scheme val="minor"/>
      </rPr>
      <t>导</t>
    </r>
  </si>
  <si>
    <t>林叶新</t>
  </si>
  <si>
    <r>
      <t>米酒; 汽酒; 青稞酒; 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白酒; 烈酒; 高粱酒; 果酒; 食用酒精</t>
    </r>
  </si>
  <si>
    <t>福君天</t>
  </si>
  <si>
    <r>
      <t>锦</t>
    </r>
    <r>
      <rPr>
        <sz val="11"/>
        <color theme="1"/>
        <rFont val="ＭＳ Ｐゴシック"/>
        <family val="3"/>
        <charset val="128"/>
        <scheme val="minor"/>
      </rPr>
      <t>酩将</t>
    </r>
  </si>
  <si>
    <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食用酒精; 米酒; 白酒; 蒸煮提取物（利口酒和烈酒）</t>
    </r>
  </si>
  <si>
    <t>明粮将</t>
  </si>
  <si>
    <r>
      <t>朱河</t>
    </r>
    <r>
      <rPr>
        <sz val="11"/>
        <color theme="1"/>
        <rFont val="ＭＳ Ｐゴシック"/>
        <family val="3"/>
        <charset val="134"/>
        <scheme val="minor"/>
      </rPr>
      <t>记忆</t>
    </r>
  </si>
  <si>
    <r>
      <t>石家庄市藁城区正达</t>
    </r>
    <r>
      <rPr>
        <sz val="11"/>
        <color theme="1"/>
        <rFont val="ＭＳ Ｐゴシック"/>
        <family val="3"/>
        <charset val="134"/>
        <scheme val="minor"/>
      </rPr>
      <t>纺织</t>
    </r>
    <r>
      <rPr>
        <sz val="11"/>
        <color theme="1"/>
        <rFont val="ＭＳ Ｐゴシック"/>
        <family val="3"/>
        <charset val="128"/>
        <scheme val="minor"/>
      </rPr>
      <t>厂</t>
    </r>
  </si>
  <si>
    <r>
      <t>利口酒; 葡萄酒; 果酒（含酒精）;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梨酒; 汽酒;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</si>
  <si>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禧福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尊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</si>
  <si>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葡萄酒; 果酒（含酒精）; 米酒; 高粱酒</t>
    </r>
  </si>
  <si>
    <t>江山坤</t>
  </si>
  <si>
    <r>
      <t>汤</t>
    </r>
    <r>
      <rPr>
        <sz val="11"/>
        <color theme="1"/>
        <rFont val="ＭＳ Ｐゴシック"/>
        <family val="3"/>
        <charset val="128"/>
        <scheme val="minor"/>
      </rPr>
      <t>阴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如双百</t>
    </r>
    <r>
      <rPr>
        <sz val="11"/>
        <color theme="1"/>
        <rFont val="ＭＳ Ｐゴシック"/>
        <family val="3"/>
        <charset val="134"/>
        <scheme val="minor"/>
      </rPr>
      <t>货</t>
    </r>
    <r>
      <rPr>
        <sz val="11"/>
        <color theme="1"/>
        <rFont val="ＭＳ Ｐゴシック"/>
        <family val="3"/>
        <charset val="128"/>
        <scheme val="minor"/>
      </rPr>
      <t>店</t>
    </r>
  </si>
  <si>
    <r>
      <t xml:space="preserve">白酒;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汽酒</t>
    </r>
  </si>
  <si>
    <r>
      <t>格</t>
    </r>
    <r>
      <rPr>
        <sz val="11"/>
        <color theme="1"/>
        <rFont val="ＭＳ Ｐゴシック"/>
        <family val="3"/>
        <charset val="134"/>
        <scheme val="minor"/>
      </rPr>
      <t>兰岁</t>
    </r>
    <r>
      <rPr>
        <sz val="11"/>
        <color theme="1"/>
        <rFont val="ＭＳ Ｐゴシック"/>
        <family val="3"/>
        <charset val="128"/>
        <scheme val="minor"/>
      </rPr>
      <t>月 GLEN YEARS</t>
    </r>
  </si>
  <si>
    <r>
      <t>威士忌; 伏特加酒; 清酒; 青梅酒;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</t>
    </r>
  </si>
  <si>
    <t>豫州茶舞</t>
  </si>
  <si>
    <t>沈德航</t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</si>
  <si>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汽酒; 清酒（日本米酒）;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白酒; 葡萄酒; 利口酒</t>
    </r>
  </si>
  <si>
    <t>GOURMOMMY</t>
  </si>
  <si>
    <r>
      <t>肯尼文化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</si>
  <si>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甜酒;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含酒精的充气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</si>
  <si>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莫杯</t>
    </r>
    <r>
      <rPr>
        <sz val="11"/>
        <color theme="1"/>
        <rFont val="ＭＳ Ｐゴシック"/>
        <family val="3"/>
        <charset val="134"/>
        <scheme val="minor"/>
      </rPr>
      <t>浔</t>
    </r>
  </si>
  <si>
    <r>
      <t>仓</t>
    </r>
    <r>
      <rPr>
        <sz val="11"/>
        <color theme="1"/>
        <rFont val="ＭＳ Ｐゴシック"/>
        <family val="3"/>
        <charset val="128"/>
        <scheme val="minor"/>
      </rPr>
      <t>群</t>
    </r>
  </si>
  <si>
    <r>
      <t>郑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34"/>
        <scheme val="minor"/>
      </rPr>
      <t>爱</t>
    </r>
    <r>
      <rPr>
        <sz val="11"/>
        <color theme="1"/>
        <rFont val="ＭＳ Ｐゴシック"/>
        <family val="3"/>
        <charset val="128"/>
        <scheme val="minor"/>
      </rPr>
      <t>残信息技</t>
    </r>
    <r>
      <rPr>
        <sz val="11"/>
        <color theme="1"/>
        <rFont val="ＭＳ Ｐゴシック"/>
        <family val="3"/>
        <charset val="134"/>
        <scheme val="minor"/>
      </rPr>
      <t>术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</si>
  <si>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薄荷酒; 果酒（含酒精）; 开胃酒; </t>
    </r>
    <r>
      <rPr>
        <sz val="11"/>
        <color theme="1"/>
        <rFont val="ＭＳ Ｐゴシック"/>
        <family val="3"/>
        <charset val="134"/>
        <scheme val="minor"/>
      </rPr>
      <t>亚</t>
    </r>
    <r>
      <rPr>
        <sz val="11"/>
        <color theme="1"/>
        <rFont val="ＭＳ Ｐゴシック"/>
        <family val="3"/>
        <charset val="128"/>
        <scheme val="minor"/>
      </rPr>
      <t>力酒;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利口酒; 蜂蜜酒;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苹果酒</t>
    </r>
  </si>
  <si>
    <t>食屋署</t>
  </si>
  <si>
    <r>
      <t>李</t>
    </r>
    <r>
      <rPr>
        <sz val="11"/>
        <color theme="1"/>
        <rFont val="ＭＳ Ｐゴシック"/>
        <family val="3"/>
        <charset val="134"/>
        <scheme val="minor"/>
      </rPr>
      <t>顺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</si>
  <si>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黄酒; 白酒; 威士忌</t>
    </r>
  </si>
  <si>
    <r>
      <t>酒毛</t>
    </r>
    <r>
      <rPr>
        <sz val="11"/>
        <color theme="1"/>
        <rFont val="ＭＳ Ｐゴシック"/>
        <family val="3"/>
        <charset val="134"/>
        <scheme val="minor"/>
      </rPr>
      <t>钱</t>
    </r>
  </si>
  <si>
    <t>杭州星猫科技有限公司</t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</si>
  <si>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黄酒; 白酒; 威士忌</t>
    </r>
  </si>
  <si>
    <r>
      <t>宏</t>
    </r>
    <r>
      <rPr>
        <sz val="11"/>
        <color theme="1"/>
        <rFont val="ＭＳ Ｐゴシック"/>
        <family val="3"/>
        <charset val="134"/>
        <scheme val="minor"/>
      </rPr>
      <t>尔</t>
    </r>
    <r>
      <rPr>
        <sz val="11"/>
        <color theme="1"/>
        <rFont val="ＭＳ Ｐゴシック"/>
        <family val="3"/>
        <charset val="128"/>
        <scheme val="minor"/>
      </rPr>
      <t>涛</t>
    </r>
  </si>
  <si>
    <r>
      <t>巴哈</t>
    </r>
    <r>
      <rPr>
        <sz val="11"/>
        <color theme="1"/>
        <rFont val="ＭＳ Ｐゴシック"/>
        <family val="3"/>
        <charset val="134"/>
        <scheme val="minor"/>
      </rPr>
      <t>尔</t>
    </r>
    <r>
      <rPr>
        <sz val="11"/>
        <color theme="1"/>
        <rFont val="ＭＳ Ｐゴシック"/>
        <family val="3"/>
        <charset val="128"/>
        <scheme val="minor"/>
      </rPr>
      <t>·阿布力孜</t>
    </r>
  </si>
  <si>
    <r>
      <t>苹果酒; 果酒;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高粱酒; 葡萄酒;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</t>
    </r>
  </si>
  <si>
    <r>
      <t>九宝</t>
    </r>
    <r>
      <rPr>
        <sz val="11"/>
        <color theme="1"/>
        <rFont val="ＭＳ Ｐゴシック"/>
        <family val="3"/>
        <charset val="134"/>
        <scheme val="minor"/>
      </rPr>
      <t>莲</t>
    </r>
  </si>
  <si>
    <r>
      <t>安康九</t>
    </r>
    <r>
      <rPr>
        <sz val="11"/>
        <color theme="1"/>
        <rFont val="ＭＳ Ｐゴシック"/>
        <family val="3"/>
        <charset val="129"/>
        <scheme val="minor"/>
      </rPr>
      <t>朵</t>
    </r>
    <r>
      <rPr>
        <sz val="11"/>
        <color theme="1"/>
        <rFont val="ＭＳ Ｐゴシック"/>
        <family val="3"/>
        <charset val="134"/>
        <scheme val="minor"/>
      </rPr>
      <t>莲</t>
    </r>
    <r>
      <rPr>
        <sz val="11"/>
        <color theme="1"/>
        <rFont val="ＭＳ Ｐゴシック"/>
        <family val="3"/>
        <charset val="128"/>
        <scheme val="minor"/>
      </rPr>
      <t>生物科技有限公司</t>
    </r>
  </si>
  <si>
    <r>
      <t>果酒; 甜酒; 蒸煮提取物（利口酒和烈酒）;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开胃酒; 清酒; 黄酒; 汽酒; 蜂蜜酒</t>
    </r>
  </si>
  <si>
    <r>
      <t>帝</t>
    </r>
    <r>
      <rPr>
        <sz val="11"/>
        <color theme="1"/>
        <rFont val="ＭＳ Ｐゴシック"/>
        <family val="3"/>
        <charset val="134"/>
        <scheme val="minor"/>
      </rPr>
      <t>闲</t>
    </r>
  </si>
  <si>
    <r>
      <t>冯</t>
    </r>
    <r>
      <rPr>
        <sz val="11"/>
        <color theme="1"/>
        <rFont val="ＭＳ Ｐゴシック"/>
        <family val="3"/>
        <charset val="128"/>
        <scheme val="minor"/>
      </rPr>
      <t>国波</t>
    </r>
  </si>
  <si>
    <r>
      <t>白酒; 朗姆酒;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黄酒; 清酒（日本米酒）; 米酒; 伏特加酒;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</si>
  <si>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佬星城</t>
  </si>
  <si>
    <r>
      <t>弓</t>
    </r>
    <r>
      <rPr>
        <sz val="11"/>
        <color theme="1"/>
        <rFont val="ＭＳ Ｐゴシック"/>
        <family val="3"/>
        <charset val="134"/>
        <scheme val="minor"/>
      </rPr>
      <t>岁鱼</t>
    </r>
  </si>
  <si>
    <t>清酒; 开胃酒; 果酒; 汽酒; 黄酒; 白酒; 米酒; 葡萄酒; 食用酒精; 甜酒</t>
  </si>
  <si>
    <t>津黔匠</t>
  </si>
  <si>
    <t>中酩山</t>
  </si>
  <si>
    <t>文翠萍</t>
  </si>
  <si>
    <r>
      <t>烈酒;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葡萄酒; 果酒（含酒精）; 威士忌;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</t>
    </r>
  </si>
  <si>
    <t>稠霞溢彩</t>
  </si>
  <si>
    <r>
      <t>宜春</t>
    </r>
    <r>
      <rPr>
        <sz val="11"/>
        <color theme="1"/>
        <rFont val="ＭＳ Ｐゴシック"/>
        <family val="3"/>
        <charset val="134"/>
        <scheme val="minor"/>
      </rPr>
      <t>经</t>
    </r>
    <r>
      <rPr>
        <sz val="11"/>
        <color theme="1"/>
        <rFont val="ＭＳ Ｐゴシック"/>
        <family val="3"/>
        <charset val="128"/>
        <scheme val="minor"/>
      </rPr>
      <t>开区古</t>
    </r>
    <r>
      <rPr>
        <sz val="11"/>
        <color theme="1"/>
        <rFont val="ＭＳ Ｐゴシック"/>
        <family val="3"/>
        <charset val="134"/>
        <scheme val="minor"/>
      </rPr>
      <t>蕴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业贸</t>
    </r>
    <r>
      <rPr>
        <sz val="11"/>
        <color theme="1"/>
        <rFont val="ＭＳ Ｐゴシック"/>
        <family val="3"/>
        <charset val="128"/>
        <scheme val="minor"/>
      </rPr>
      <t>易行</t>
    </r>
  </si>
  <si>
    <r>
      <t>白酒; 葡萄酒;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的白酒; 白干酒（中国白酒）;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</t>
    </r>
  </si>
  <si>
    <r>
      <t>独杯</t>
    </r>
    <r>
      <rPr>
        <sz val="11"/>
        <color theme="1"/>
        <rFont val="ＭＳ Ｐゴシック"/>
        <family val="3"/>
        <charset val="134"/>
        <scheme val="minor"/>
      </rPr>
      <t>浔</t>
    </r>
  </si>
  <si>
    <t>李小阳</t>
  </si>
  <si>
    <r>
      <t>宙</t>
    </r>
    <r>
      <rPr>
        <sz val="11"/>
        <color theme="1"/>
        <rFont val="ＭＳ Ｐゴシック"/>
        <family val="3"/>
        <charset val="134"/>
        <scheme val="minor"/>
      </rPr>
      <t>狮</t>
    </r>
  </si>
  <si>
    <t>吴尚友</t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</si>
  <si>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烈酒;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黄酒; 果酒（含酒精）; 威士忌; 开胃酒; 白酒</t>
    </r>
  </si>
  <si>
    <r>
      <t>爱</t>
    </r>
    <r>
      <rPr>
        <sz val="11"/>
        <color theme="1"/>
        <rFont val="ＭＳ Ｐゴシック"/>
        <family val="3"/>
        <charset val="128"/>
        <scheme val="minor"/>
      </rPr>
      <t>酩将</t>
    </r>
  </si>
  <si>
    <r>
      <t>琼</t>
    </r>
    <r>
      <rPr>
        <sz val="11"/>
        <color theme="1"/>
        <rFont val="ＭＳ Ｐゴシック"/>
        <family val="3"/>
        <charset val="128"/>
        <scheme val="minor"/>
      </rPr>
      <t>粮帝</t>
    </r>
  </si>
  <si>
    <t>吴黔匠</t>
  </si>
  <si>
    <t>杏御粮</t>
  </si>
  <si>
    <t>虔庋</t>
  </si>
  <si>
    <t>深圳市欧姆微科技有限公司</t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</si>
  <si>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清酒（日本米酒）; 米酒; 威士忌</t>
    </r>
  </si>
  <si>
    <t>幸廊台</t>
  </si>
  <si>
    <r>
      <t>成尚</t>
    </r>
    <r>
      <rPr>
        <sz val="11"/>
        <color theme="1"/>
        <rFont val="ＭＳ Ｐゴシック"/>
        <family val="3"/>
        <charset val="134"/>
        <scheme val="minor"/>
      </rPr>
      <t>华</t>
    </r>
  </si>
  <si>
    <r>
      <t>黄酒;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 xml:space="preserve">汁; 葡萄酒;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蒸煮提取物（利口酒和烈酒）; 白酒</t>
    </r>
  </si>
  <si>
    <r>
      <t>诗</t>
    </r>
    <r>
      <rPr>
        <sz val="11"/>
        <color theme="1"/>
        <rFont val="ＭＳ Ｐゴシック"/>
        <family val="3"/>
        <charset val="128"/>
        <scheme val="minor"/>
      </rPr>
      <t>自醉</t>
    </r>
  </si>
  <si>
    <t>幸粮帝</t>
  </si>
  <si>
    <r>
      <t>蒸煮提取物（利口酒和烈酒）;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 xml:space="preserve">汁; 葡萄酒; 黄酒;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</t>
    </r>
  </si>
  <si>
    <t>玄醉月</t>
  </si>
  <si>
    <r>
      <t>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 xml:space="preserve">汁; 葡萄酒; 米酒;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蒸煮提取物（利口酒和烈酒）; 白酒</t>
    </r>
  </si>
  <si>
    <r>
      <t>疆</t>
    </r>
    <r>
      <rPr>
        <sz val="11"/>
        <color theme="1"/>
        <rFont val="ＭＳ Ｐゴシック"/>
        <family val="3"/>
        <charset val="134"/>
        <scheme val="minor"/>
      </rPr>
      <t>浔</t>
    </r>
  </si>
  <si>
    <r>
      <t>朱雪</t>
    </r>
    <r>
      <rPr>
        <sz val="11"/>
        <color theme="1"/>
        <rFont val="ＭＳ Ｐゴシック"/>
        <family val="3"/>
        <charset val="134"/>
        <scheme val="minor"/>
      </rPr>
      <t>娇</t>
    </r>
  </si>
  <si>
    <r>
      <t>烈酒; 白酒;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清酒（日本米酒）;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开胃酒; 威士忌</t>
    </r>
  </si>
  <si>
    <t>旺粮帝</t>
  </si>
  <si>
    <r>
      <t>湖南茶悦文化</t>
    </r>
    <r>
      <rPr>
        <sz val="11"/>
        <color theme="1"/>
        <rFont val="ＭＳ Ｐゴシック"/>
        <family val="3"/>
        <charset val="134"/>
        <scheme val="minor"/>
      </rPr>
      <t>产业发</t>
    </r>
    <r>
      <rPr>
        <sz val="11"/>
        <color theme="1"/>
        <rFont val="ＭＳ Ｐゴシック"/>
        <family val="3"/>
        <charset val="128"/>
        <scheme val="minor"/>
      </rPr>
      <t>展集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</si>
  <si>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果酒; 清酒;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甜酒; 米酒</t>
    </r>
  </si>
  <si>
    <t>金徽大有</t>
  </si>
  <si>
    <r>
      <t>白酒; 清酒（日本米酒）; 青稞酒; 黄酒;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果酒（含酒精）;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利口酒</t>
    </r>
  </si>
  <si>
    <t>金徽大友</t>
  </si>
  <si>
    <r>
      <t>葡萄酒; 白酒; 果酒（含酒精）; 利口酒;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青稞酒; 米酒;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清酒（日本米酒）</t>
    </r>
  </si>
  <si>
    <r>
      <t>金徽大有可</t>
    </r>
    <r>
      <rPr>
        <sz val="11"/>
        <color theme="1"/>
        <rFont val="ＭＳ Ｐゴシック"/>
        <family val="3"/>
        <charset val="134"/>
        <scheme val="minor"/>
      </rPr>
      <t>为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</si>
  <si>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葡萄酒; 米酒; 青稞酒;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清酒（日本米酒）; 利口酒; 黄酒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</si>
</sst>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/mm/dd"/>
    <numFmt numFmtId="177" formatCode="0_ "/>
  </numFmts>
  <fonts count="6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u/>
      <sz val="11"/>
      <color theme="1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34"/>
      <scheme val="minor"/>
    </font>
    <font>
      <sz val="11"/>
      <color theme="1"/>
      <name val="ＭＳ Ｐゴシック"/>
      <family val="3"/>
      <charset val="129"/>
      <scheme val="minor"/>
    </font>
    <font>
      <sz val="6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2" borderId="1" xfId="0" applyFill="1" applyBorder="1" applyAlignment="1">
      <alignment horizontal="center" vertical="top"/>
    </xf>
    <xf numFmtId="49" fontId="0" fillId="2" borderId="1" xfId="0" applyNumberFormat="1" applyFill="1" applyBorder="1" applyAlignment="1">
      <alignment horizontal="center" vertical="top"/>
    </xf>
    <xf numFmtId="177" fontId="0" fillId="2" borderId="1" xfId="0" applyNumberFormat="1" applyFill="1" applyBorder="1" applyAlignment="1">
      <alignment horizontal="center" vertical="top"/>
    </xf>
    <xf numFmtId="176" fontId="0" fillId="2" borderId="1" xfId="0" applyNumberFormat="1" applyFill="1" applyBorder="1" applyAlignment="1">
      <alignment horizontal="center" vertical="top"/>
    </xf>
    <xf numFmtId="0" fontId="0" fillId="0" borderId="1" xfId="0" applyBorder="1" applyAlignment="1">
      <alignment vertical="top"/>
    </xf>
    <xf numFmtId="49" fontId="0" fillId="0" borderId="1" xfId="0" applyNumberFormat="1" applyBorder="1" applyAlignment="1">
      <alignment vertical="top"/>
    </xf>
    <xf numFmtId="177" fontId="0" fillId="0" borderId="1" xfId="0" applyNumberFormat="1" applyBorder="1" applyAlignment="1">
      <alignment vertical="top"/>
    </xf>
    <xf numFmtId="176" fontId="0" fillId="0" borderId="1" xfId="0" applyNumberFormat="1" applyBorder="1" applyAlignment="1">
      <alignment vertical="top"/>
    </xf>
    <xf numFmtId="177" fontId="2" fillId="0" borderId="1" xfId="1" applyNumberFormat="1" applyFill="1" applyBorder="1" applyAlignment="1">
      <alignment vertical="top"/>
    </xf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177" fontId="0" fillId="0" borderId="0" xfId="0" applyNumberFormat="1" applyAlignment="1">
      <alignment vertical="top"/>
    </xf>
    <xf numFmtId="176" fontId="0" fillId="0" borderId="0" xfId="0" applyNumberFormat="1" applyAlignment="1">
      <alignment vertical="top"/>
    </xf>
    <xf numFmtId="14" fontId="0" fillId="0" borderId="1" xfId="0" applyNumberFormat="1" applyBorder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30E05C-42ED-478F-AF29-E68F1E093C66}">
  <dimension ref="A1:I3076"/>
  <sheetViews>
    <sheetView tabSelected="1" workbookViewId="0"/>
  </sheetViews>
  <sheetFormatPr defaultRowHeight="13.5" x14ac:dyDescent="0.15"/>
  <cols>
    <col min="1" max="1" width="9" style="10"/>
    <col min="2" max="2" width="9" style="11"/>
    <col min="3" max="3" width="9" style="12"/>
    <col min="4" max="4" width="11.625" style="13" customWidth="1"/>
    <col min="5" max="5" width="10.625" style="12" bestFit="1" customWidth="1"/>
    <col min="6" max="6" width="28.375" style="11" customWidth="1"/>
    <col min="7" max="7" width="31.375" style="11" customWidth="1"/>
    <col min="8" max="8" width="100.625" style="11" customWidth="1"/>
    <col min="9" max="9" width="11.625" style="13" bestFit="1" customWidth="1"/>
    <col min="10" max="10" width="13" customWidth="1"/>
  </cols>
  <sheetData>
    <row r="1" spans="1:9" x14ac:dyDescent="0.15">
      <c r="A1" s="1" t="s">
        <v>8</v>
      </c>
      <c r="B1" s="2" t="s">
        <v>0</v>
      </c>
      <c r="C1" s="3" t="s">
        <v>1</v>
      </c>
      <c r="D1" s="4" t="s">
        <v>2</v>
      </c>
      <c r="E1" s="3" t="s">
        <v>3</v>
      </c>
      <c r="F1" s="2" t="s">
        <v>4</v>
      </c>
      <c r="G1" s="2" t="s">
        <v>5</v>
      </c>
      <c r="H1" s="2" t="s">
        <v>6</v>
      </c>
      <c r="I1" s="4" t="s">
        <v>7</v>
      </c>
    </row>
    <row r="2" spans="1:9" x14ac:dyDescent="0.15">
      <c r="A2" s="5">
        <v>1</v>
      </c>
      <c r="B2" s="6" t="s">
        <v>9</v>
      </c>
      <c r="C2" s="7">
        <v>1882</v>
      </c>
      <c r="D2" s="8">
        <v>45388</v>
      </c>
      <c r="E2" s="9" t="str">
        <f>+HYPERLINK("http://trademark.i-assist.jp/data/china/image_1882th/56957960.pdf","56957960")</f>
        <v>56957960</v>
      </c>
      <c r="F2" s="6" t="s">
        <v>11</v>
      </c>
      <c r="G2" s="6" t="s">
        <v>12</v>
      </c>
      <c r="H2" s="8" t="s">
        <v>13</v>
      </c>
      <c r="I2" s="14">
        <v>44364</v>
      </c>
    </row>
    <row r="3" spans="1:9" x14ac:dyDescent="0.15">
      <c r="A3" s="5">
        <v>2</v>
      </c>
      <c r="B3" s="6" t="s">
        <v>9</v>
      </c>
      <c r="C3" s="7">
        <v>1882</v>
      </c>
      <c r="D3" s="8">
        <v>45388</v>
      </c>
      <c r="E3" s="9" t="str">
        <f>+HYPERLINK("http://trademark.i-assist.jp/data/china/image_1882th/58831013.pdf","58831013")</f>
        <v>58831013</v>
      </c>
      <c r="F3" s="6" t="s">
        <v>14</v>
      </c>
      <c r="G3" s="6" t="s">
        <v>15</v>
      </c>
      <c r="H3" s="8" t="s">
        <v>16</v>
      </c>
      <c r="I3" s="14">
        <v>44435</v>
      </c>
    </row>
    <row r="4" spans="1:9" x14ac:dyDescent="0.15">
      <c r="A4" s="5">
        <v>3</v>
      </c>
      <c r="B4" s="6" t="s">
        <v>9</v>
      </c>
      <c r="C4" s="7">
        <v>1882</v>
      </c>
      <c r="D4" s="8">
        <v>45388</v>
      </c>
      <c r="E4" s="9" t="str">
        <f>+HYPERLINK("http://trademark.i-assist.jp/data/china/image_1882th/61186465.pdf","61186465")</f>
        <v>61186465</v>
      </c>
      <c r="F4" s="6" t="s">
        <v>17</v>
      </c>
      <c r="G4" s="6" t="s">
        <v>18</v>
      </c>
      <c r="H4" s="8" t="s">
        <v>19</v>
      </c>
      <c r="I4" s="14">
        <v>44537</v>
      </c>
    </row>
    <row r="5" spans="1:9" x14ac:dyDescent="0.15">
      <c r="A5" s="5">
        <v>4</v>
      </c>
      <c r="B5" s="6" t="s">
        <v>9</v>
      </c>
      <c r="C5" s="7">
        <v>1882</v>
      </c>
      <c r="D5" s="8">
        <v>45388</v>
      </c>
      <c r="E5" s="9" t="str">
        <f>+HYPERLINK("http://trademark.i-assist.jp/data/china/image_1882th/64119295.pdf","64119295")</f>
        <v>64119295</v>
      </c>
      <c r="F5" s="6" t="s">
        <v>20</v>
      </c>
      <c r="G5" s="6" t="s">
        <v>21</v>
      </c>
      <c r="H5" s="8" t="s">
        <v>22</v>
      </c>
      <c r="I5" s="14">
        <v>44671</v>
      </c>
    </row>
    <row r="6" spans="1:9" x14ac:dyDescent="0.15">
      <c r="A6" s="5">
        <v>5</v>
      </c>
      <c r="B6" s="6" t="s">
        <v>9</v>
      </c>
      <c r="C6" s="7">
        <v>1882</v>
      </c>
      <c r="D6" s="8">
        <v>45388</v>
      </c>
      <c r="E6" s="9" t="str">
        <f>+HYPERLINK("http://trademark.i-assist.jp/data/china/image_1882th/64122388.pdf","64122388")</f>
        <v>64122388</v>
      </c>
      <c r="F6" s="6" t="s">
        <v>23</v>
      </c>
      <c r="G6" s="6" t="s">
        <v>24</v>
      </c>
      <c r="H6" s="8" t="s">
        <v>25</v>
      </c>
      <c r="I6" s="14">
        <v>44671</v>
      </c>
    </row>
    <row r="7" spans="1:9" x14ac:dyDescent="0.15">
      <c r="A7" s="5">
        <v>6</v>
      </c>
      <c r="B7" s="6" t="s">
        <v>9</v>
      </c>
      <c r="C7" s="7">
        <v>1882</v>
      </c>
      <c r="D7" s="8">
        <v>45388</v>
      </c>
      <c r="E7" s="9" t="str">
        <f>+HYPERLINK("http://trademark.i-assist.jp/data/china/image_1882th/65492006.pdf","65492006")</f>
        <v>65492006</v>
      </c>
      <c r="F7" s="6" t="s">
        <v>26</v>
      </c>
      <c r="G7" s="6" t="s">
        <v>27</v>
      </c>
      <c r="H7" s="8" t="s">
        <v>28</v>
      </c>
      <c r="I7" s="14">
        <v>44735</v>
      </c>
    </row>
    <row r="8" spans="1:9" x14ac:dyDescent="0.15">
      <c r="A8" s="5">
        <v>7</v>
      </c>
      <c r="B8" s="6" t="s">
        <v>9</v>
      </c>
      <c r="C8" s="7">
        <v>1882</v>
      </c>
      <c r="D8" s="8">
        <v>45388</v>
      </c>
      <c r="E8" s="9" t="str">
        <f>+HYPERLINK("http://trademark.i-assist.jp/data/china/image_1882th/66138160.pdf","66138160")</f>
        <v>66138160</v>
      </c>
      <c r="F8" s="6" t="s">
        <v>29</v>
      </c>
      <c r="G8" s="6" t="s">
        <v>30</v>
      </c>
      <c r="H8" s="8" t="s">
        <v>31</v>
      </c>
      <c r="I8" s="14">
        <v>44764</v>
      </c>
    </row>
    <row r="9" spans="1:9" x14ac:dyDescent="0.15">
      <c r="A9" s="5">
        <v>8</v>
      </c>
      <c r="B9" s="6" t="s">
        <v>9</v>
      </c>
      <c r="C9" s="7">
        <v>1882</v>
      </c>
      <c r="D9" s="8">
        <v>45388</v>
      </c>
      <c r="E9" s="9" t="str">
        <f>+HYPERLINK("http://trademark.i-assist.jp/data/china/image_1882th/66241223.pdf","66241223")</f>
        <v>66241223</v>
      </c>
      <c r="F9" s="6" t="s">
        <v>32</v>
      </c>
      <c r="G9" s="6" t="s">
        <v>33</v>
      </c>
      <c r="H9" s="8" t="s">
        <v>34</v>
      </c>
      <c r="I9" s="14">
        <v>44769</v>
      </c>
    </row>
    <row r="10" spans="1:9" x14ac:dyDescent="0.15">
      <c r="A10" s="5">
        <v>9</v>
      </c>
      <c r="B10" s="6" t="s">
        <v>9</v>
      </c>
      <c r="C10" s="7">
        <v>1882</v>
      </c>
      <c r="D10" s="8">
        <v>45388</v>
      </c>
      <c r="E10" s="9" t="str">
        <f>+HYPERLINK("http://trademark.i-assist.jp/data/china/image_1882th/66265772.pdf","66265772")</f>
        <v>66265772</v>
      </c>
      <c r="F10" s="6" t="s">
        <v>35</v>
      </c>
      <c r="G10" s="6" t="s">
        <v>36</v>
      </c>
      <c r="H10" s="8" t="s">
        <v>37</v>
      </c>
      <c r="I10" s="14">
        <v>44771</v>
      </c>
    </row>
    <row r="11" spans="1:9" x14ac:dyDescent="0.15">
      <c r="A11" s="5">
        <v>10</v>
      </c>
      <c r="B11" s="6" t="s">
        <v>9</v>
      </c>
      <c r="C11" s="7">
        <v>1882</v>
      </c>
      <c r="D11" s="8">
        <v>45388</v>
      </c>
      <c r="E11" s="9" t="str">
        <f>+HYPERLINK("http://trademark.i-assist.jp/data/china/image_1882th/67143943.pdf","67143943")</f>
        <v>67143943</v>
      </c>
      <c r="F11" s="6" t="s">
        <v>38</v>
      </c>
      <c r="G11" s="6" t="s">
        <v>39</v>
      </c>
      <c r="H11" s="8" t="s">
        <v>40</v>
      </c>
      <c r="I11" s="14">
        <v>44814</v>
      </c>
    </row>
    <row r="12" spans="1:9" x14ac:dyDescent="0.15">
      <c r="A12" s="5">
        <v>11</v>
      </c>
      <c r="B12" s="6" t="s">
        <v>9</v>
      </c>
      <c r="C12" s="7">
        <v>1882</v>
      </c>
      <c r="D12" s="8">
        <v>45388</v>
      </c>
      <c r="E12" s="9" t="str">
        <f>+HYPERLINK("http://trademark.i-assist.jp/data/china/image_1882th/67184049.pdf","67184049")</f>
        <v>67184049</v>
      </c>
      <c r="F12" s="6" t="s">
        <v>26</v>
      </c>
      <c r="G12" s="6" t="s">
        <v>41</v>
      </c>
      <c r="H12" s="8" t="s">
        <v>42</v>
      </c>
      <c r="I12" s="14">
        <v>44818</v>
      </c>
    </row>
    <row r="13" spans="1:9" x14ac:dyDescent="0.15">
      <c r="A13" s="5">
        <v>12</v>
      </c>
      <c r="B13" s="6" t="s">
        <v>9</v>
      </c>
      <c r="C13" s="7">
        <v>1882</v>
      </c>
      <c r="D13" s="8">
        <v>45388</v>
      </c>
      <c r="E13" s="9" t="str">
        <f>+HYPERLINK("http://trademark.i-assist.jp/data/china/image_1882th/67188781.pdf","67188781")</f>
        <v>67188781</v>
      </c>
      <c r="F13" s="6" t="s">
        <v>26</v>
      </c>
      <c r="G13" s="6" t="s">
        <v>41</v>
      </c>
      <c r="H13" s="8" t="s">
        <v>43</v>
      </c>
      <c r="I13" s="14">
        <v>44818</v>
      </c>
    </row>
    <row r="14" spans="1:9" x14ac:dyDescent="0.15">
      <c r="A14" s="5">
        <v>13</v>
      </c>
      <c r="B14" s="6" t="s">
        <v>9</v>
      </c>
      <c r="C14" s="7">
        <v>1882</v>
      </c>
      <c r="D14" s="8">
        <v>45388</v>
      </c>
      <c r="E14" s="9" t="str">
        <f>+HYPERLINK("http://trademark.i-assist.jp/data/china/image_1882th/67549831.pdf","67549831")</f>
        <v>67549831</v>
      </c>
      <c r="F14" s="6" t="s">
        <v>44</v>
      </c>
      <c r="G14" s="6" t="s">
        <v>45</v>
      </c>
      <c r="H14" s="8" t="s">
        <v>46</v>
      </c>
      <c r="I14" s="14">
        <v>44834</v>
      </c>
    </row>
    <row r="15" spans="1:9" x14ac:dyDescent="0.15">
      <c r="A15" s="5">
        <v>14</v>
      </c>
      <c r="B15" s="6" t="s">
        <v>9</v>
      </c>
      <c r="C15" s="7">
        <v>1882</v>
      </c>
      <c r="D15" s="8">
        <v>45388</v>
      </c>
      <c r="E15" s="9" t="str">
        <f>+HYPERLINK("http://trademark.i-assist.jp/data/china/image_1882th/67669986.pdf","67669986")</f>
        <v>67669986</v>
      </c>
      <c r="F15" s="6" t="s">
        <v>26</v>
      </c>
      <c r="G15" s="6" t="s">
        <v>47</v>
      </c>
      <c r="H15" s="8" t="s">
        <v>48</v>
      </c>
      <c r="I15" s="14">
        <v>44845</v>
      </c>
    </row>
    <row r="16" spans="1:9" x14ac:dyDescent="0.15">
      <c r="A16" s="5">
        <v>15</v>
      </c>
      <c r="B16" s="6" t="s">
        <v>9</v>
      </c>
      <c r="C16" s="7">
        <v>1882</v>
      </c>
      <c r="D16" s="8">
        <v>45388</v>
      </c>
      <c r="E16" s="9" t="str">
        <f>+HYPERLINK("http://trademark.i-assist.jp/data/china/image_1882th/67946619.pdf","67946619")</f>
        <v>67946619</v>
      </c>
      <c r="F16" s="6" t="s">
        <v>49</v>
      </c>
      <c r="G16" s="6" t="s">
        <v>50</v>
      </c>
      <c r="H16" s="8" t="s">
        <v>51</v>
      </c>
      <c r="I16" s="14">
        <v>44859</v>
      </c>
    </row>
    <row r="17" spans="1:9" x14ac:dyDescent="0.15">
      <c r="A17" s="5">
        <v>16</v>
      </c>
      <c r="B17" s="6" t="s">
        <v>9</v>
      </c>
      <c r="C17" s="7">
        <v>1882</v>
      </c>
      <c r="D17" s="8">
        <v>45388</v>
      </c>
      <c r="E17" s="9" t="str">
        <f>+HYPERLINK("http://trademark.i-assist.jp/data/china/image_1882th/68090162.pdf","68090162")</f>
        <v>68090162</v>
      </c>
      <c r="F17" s="6" t="s">
        <v>52</v>
      </c>
      <c r="G17" s="6" t="s">
        <v>53</v>
      </c>
      <c r="H17" s="8" t="s">
        <v>54</v>
      </c>
      <c r="I17" s="14">
        <v>44867</v>
      </c>
    </row>
    <row r="18" spans="1:9" x14ac:dyDescent="0.15">
      <c r="A18" s="5">
        <v>17</v>
      </c>
      <c r="B18" s="6" t="s">
        <v>9</v>
      </c>
      <c r="C18" s="7">
        <v>1882</v>
      </c>
      <c r="D18" s="8">
        <v>45388</v>
      </c>
      <c r="E18" s="9" t="str">
        <f>+HYPERLINK("http://trademark.i-assist.jp/data/china/image_1882th/68636658.pdf","68636658")</f>
        <v>68636658</v>
      </c>
      <c r="F18" s="6" t="s">
        <v>55</v>
      </c>
      <c r="G18" s="6" t="s">
        <v>56</v>
      </c>
      <c r="H18" s="8" t="s">
        <v>57</v>
      </c>
      <c r="I18" s="14">
        <v>44895</v>
      </c>
    </row>
    <row r="19" spans="1:9" x14ac:dyDescent="0.15">
      <c r="A19" s="5">
        <v>18</v>
      </c>
      <c r="B19" s="6" t="s">
        <v>9</v>
      </c>
      <c r="C19" s="7">
        <v>1882</v>
      </c>
      <c r="D19" s="8">
        <v>45388</v>
      </c>
      <c r="E19" s="9" t="str">
        <f>+HYPERLINK("http://trademark.i-assist.jp/data/china/image_1882th/68641544.pdf","68641544")</f>
        <v>68641544</v>
      </c>
      <c r="F19" s="6" t="s">
        <v>58</v>
      </c>
      <c r="G19" s="6" t="s">
        <v>59</v>
      </c>
      <c r="H19" s="8" t="s">
        <v>60</v>
      </c>
      <c r="I19" s="14">
        <v>44895</v>
      </c>
    </row>
    <row r="20" spans="1:9" x14ac:dyDescent="0.15">
      <c r="A20" s="5">
        <v>19</v>
      </c>
      <c r="B20" s="6" t="s">
        <v>9</v>
      </c>
      <c r="C20" s="7">
        <v>1882</v>
      </c>
      <c r="D20" s="8">
        <v>45388</v>
      </c>
      <c r="E20" s="9" t="str">
        <f>+HYPERLINK("http://trademark.i-assist.jp/data/china/image_1882th/68642913.pdf","68642913")</f>
        <v>68642913</v>
      </c>
      <c r="F20" s="6" t="s">
        <v>61</v>
      </c>
      <c r="G20" s="6" t="s">
        <v>62</v>
      </c>
      <c r="H20" s="8" t="s">
        <v>63</v>
      </c>
      <c r="I20" s="14">
        <v>44895</v>
      </c>
    </row>
    <row r="21" spans="1:9" x14ac:dyDescent="0.15">
      <c r="A21" s="5">
        <v>20</v>
      </c>
      <c r="B21" s="6" t="s">
        <v>9</v>
      </c>
      <c r="C21" s="7">
        <v>1882</v>
      </c>
      <c r="D21" s="8">
        <v>45388</v>
      </c>
      <c r="E21" s="9" t="str">
        <f>+HYPERLINK("http://trademark.i-assist.jp/data/china/image_1882th/68710456.pdf","68710456")</f>
        <v>68710456</v>
      </c>
      <c r="F21" s="6" t="s">
        <v>64</v>
      </c>
      <c r="G21" s="6" t="s">
        <v>65</v>
      </c>
      <c r="H21" s="8" t="s">
        <v>66</v>
      </c>
      <c r="I21" s="14">
        <v>44900</v>
      </c>
    </row>
    <row r="22" spans="1:9" x14ac:dyDescent="0.15">
      <c r="A22" s="5">
        <v>21</v>
      </c>
      <c r="B22" s="6" t="s">
        <v>9</v>
      </c>
      <c r="C22" s="7">
        <v>1882</v>
      </c>
      <c r="D22" s="8">
        <v>45388</v>
      </c>
      <c r="E22" s="9" t="str">
        <f>+HYPERLINK("http://trademark.i-assist.jp/data/china/image_1882th/68814383.pdf","68814383")</f>
        <v>68814383</v>
      </c>
      <c r="F22" s="6" t="s">
        <v>67</v>
      </c>
      <c r="G22" s="6" t="s">
        <v>68</v>
      </c>
      <c r="H22" s="8" t="s">
        <v>60</v>
      </c>
      <c r="I22" s="14">
        <v>44907</v>
      </c>
    </row>
    <row r="23" spans="1:9" x14ac:dyDescent="0.15">
      <c r="A23" s="5">
        <v>22</v>
      </c>
      <c r="B23" s="6" t="s">
        <v>9</v>
      </c>
      <c r="C23" s="7">
        <v>1882</v>
      </c>
      <c r="D23" s="8">
        <v>45388</v>
      </c>
      <c r="E23" s="9" t="str">
        <f>+HYPERLINK("http://trademark.i-assist.jp/data/china/image_1882th/68973585.pdf","68973585")</f>
        <v>68973585</v>
      </c>
      <c r="F23" s="6" t="s">
        <v>69</v>
      </c>
      <c r="G23" s="6" t="s">
        <v>70</v>
      </c>
      <c r="H23" s="8" t="s">
        <v>60</v>
      </c>
      <c r="I23" s="14">
        <v>44918</v>
      </c>
    </row>
    <row r="24" spans="1:9" x14ac:dyDescent="0.15">
      <c r="A24" s="5">
        <v>23</v>
      </c>
      <c r="B24" s="6" t="s">
        <v>9</v>
      </c>
      <c r="C24" s="7">
        <v>1882</v>
      </c>
      <c r="D24" s="8">
        <v>45388</v>
      </c>
      <c r="E24" s="9" t="str">
        <f>+HYPERLINK("http://trademark.i-assist.jp/data/china/image_1882th/69073037.pdf","69073037")</f>
        <v>69073037</v>
      </c>
      <c r="F24" s="6" t="s">
        <v>71</v>
      </c>
      <c r="G24" s="6" t="s">
        <v>72</v>
      </c>
      <c r="H24" s="8" t="s">
        <v>73</v>
      </c>
      <c r="I24" s="14">
        <v>44929</v>
      </c>
    </row>
    <row r="25" spans="1:9" x14ac:dyDescent="0.15">
      <c r="A25" s="5">
        <v>24</v>
      </c>
      <c r="B25" s="6" t="s">
        <v>9</v>
      </c>
      <c r="C25" s="7">
        <v>1882</v>
      </c>
      <c r="D25" s="8">
        <v>45388</v>
      </c>
      <c r="E25" s="9" t="str">
        <f>+HYPERLINK("http://trademark.i-assist.jp/data/china/image_1882th/69225177.pdf","69225177")</f>
        <v>69225177</v>
      </c>
      <c r="F25" s="6" t="s">
        <v>74</v>
      </c>
      <c r="G25" s="6" t="s">
        <v>75</v>
      </c>
      <c r="H25" s="8" t="s">
        <v>76</v>
      </c>
      <c r="I25" s="14">
        <v>44939</v>
      </c>
    </row>
    <row r="26" spans="1:9" x14ac:dyDescent="0.15">
      <c r="A26" s="5">
        <v>25</v>
      </c>
      <c r="B26" s="6" t="s">
        <v>9</v>
      </c>
      <c r="C26" s="7">
        <v>1882</v>
      </c>
      <c r="D26" s="8">
        <v>45388</v>
      </c>
      <c r="E26" s="9" t="str">
        <f>+HYPERLINK("http://trademark.i-assist.jp/data/china/image_1882th/69245665.pdf","69245665")</f>
        <v>69245665</v>
      </c>
      <c r="F26" s="6" t="s">
        <v>77</v>
      </c>
      <c r="G26" s="6" t="s">
        <v>78</v>
      </c>
      <c r="H26" s="8" t="s">
        <v>79</v>
      </c>
      <c r="I26" s="14">
        <v>44942</v>
      </c>
    </row>
    <row r="27" spans="1:9" x14ac:dyDescent="0.15">
      <c r="A27" s="5">
        <v>26</v>
      </c>
      <c r="B27" s="6" t="s">
        <v>9</v>
      </c>
      <c r="C27" s="7">
        <v>1882</v>
      </c>
      <c r="D27" s="8">
        <v>45388</v>
      </c>
      <c r="E27" s="9" t="str">
        <f>+HYPERLINK("http://trademark.i-assist.jp/data/china/image_1882th/69280672.pdf","69280672")</f>
        <v>69280672</v>
      </c>
      <c r="F27" s="6" t="s">
        <v>80</v>
      </c>
      <c r="G27" s="6" t="s">
        <v>81</v>
      </c>
      <c r="H27" s="8" t="s">
        <v>82</v>
      </c>
      <c r="I27" s="14">
        <v>44944</v>
      </c>
    </row>
    <row r="28" spans="1:9" x14ac:dyDescent="0.15">
      <c r="A28" s="5">
        <v>27</v>
      </c>
      <c r="B28" s="6" t="s">
        <v>9</v>
      </c>
      <c r="C28" s="7">
        <v>1882</v>
      </c>
      <c r="D28" s="8">
        <v>45388</v>
      </c>
      <c r="E28" s="9" t="str">
        <f>+HYPERLINK("http://trademark.i-assist.jp/data/china/image_1882th/69282839.pdf","69282839")</f>
        <v>69282839</v>
      </c>
      <c r="F28" s="6" t="s">
        <v>83</v>
      </c>
      <c r="G28" s="6" t="s">
        <v>84</v>
      </c>
      <c r="H28" s="8" t="s">
        <v>85</v>
      </c>
      <c r="I28" s="14">
        <v>44945</v>
      </c>
    </row>
    <row r="29" spans="1:9" x14ac:dyDescent="0.15">
      <c r="A29" s="5">
        <v>28</v>
      </c>
      <c r="B29" s="6" t="s">
        <v>9</v>
      </c>
      <c r="C29" s="7">
        <v>1882</v>
      </c>
      <c r="D29" s="8">
        <v>45388</v>
      </c>
      <c r="E29" s="9" t="str">
        <f>+HYPERLINK("http://trademark.i-assist.jp/data/china/image_1882th/69284390.pdf","69284390")</f>
        <v>69284390</v>
      </c>
      <c r="F29" s="6" t="s">
        <v>86</v>
      </c>
      <c r="G29" s="6" t="s">
        <v>84</v>
      </c>
      <c r="H29" s="8" t="s">
        <v>85</v>
      </c>
      <c r="I29" s="14">
        <v>44945</v>
      </c>
    </row>
    <row r="30" spans="1:9" x14ac:dyDescent="0.15">
      <c r="A30" s="5">
        <v>29</v>
      </c>
      <c r="B30" s="6" t="s">
        <v>9</v>
      </c>
      <c r="C30" s="7">
        <v>1882</v>
      </c>
      <c r="D30" s="8">
        <v>45388</v>
      </c>
      <c r="E30" s="9" t="str">
        <f>+HYPERLINK("http://trademark.i-assist.jp/data/china/image_1882th/69320071.pdf","69320071")</f>
        <v>69320071</v>
      </c>
      <c r="F30" s="6" t="s">
        <v>26</v>
      </c>
      <c r="G30" s="6" t="s">
        <v>87</v>
      </c>
      <c r="H30" s="8" t="s">
        <v>88</v>
      </c>
      <c r="I30" s="14">
        <v>44956</v>
      </c>
    </row>
    <row r="31" spans="1:9" x14ac:dyDescent="0.15">
      <c r="A31" s="5">
        <v>30</v>
      </c>
      <c r="B31" s="6" t="s">
        <v>9</v>
      </c>
      <c r="C31" s="7">
        <v>1882</v>
      </c>
      <c r="D31" s="8">
        <v>45388</v>
      </c>
      <c r="E31" s="9" t="str">
        <f>+HYPERLINK("http://trademark.i-assist.jp/data/china/image_1882th/69532508.pdf","69532508")</f>
        <v>69532508</v>
      </c>
      <c r="F31" s="6" t="s">
        <v>89</v>
      </c>
      <c r="G31" s="6" t="s">
        <v>90</v>
      </c>
      <c r="H31" s="8" t="s">
        <v>91</v>
      </c>
      <c r="I31" s="14">
        <v>44970</v>
      </c>
    </row>
    <row r="32" spans="1:9" x14ac:dyDescent="0.15">
      <c r="A32" s="5">
        <v>31</v>
      </c>
      <c r="B32" s="6" t="s">
        <v>9</v>
      </c>
      <c r="C32" s="7">
        <v>1882</v>
      </c>
      <c r="D32" s="8">
        <v>45388</v>
      </c>
      <c r="E32" s="9" t="str">
        <f>+HYPERLINK("http://trademark.i-assist.jp/data/china/image_1882th/69604907.pdf","69604907")</f>
        <v>69604907</v>
      </c>
      <c r="F32" s="6" t="s">
        <v>92</v>
      </c>
      <c r="G32" s="6" t="s">
        <v>93</v>
      </c>
      <c r="H32" s="8" t="s">
        <v>94</v>
      </c>
      <c r="I32" s="14">
        <v>44973</v>
      </c>
    </row>
    <row r="33" spans="1:9" x14ac:dyDescent="0.15">
      <c r="A33" s="5">
        <v>32</v>
      </c>
      <c r="B33" s="6" t="s">
        <v>9</v>
      </c>
      <c r="C33" s="7">
        <v>1882</v>
      </c>
      <c r="D33" s="8">
        <v>45388</v>
      </c>
      <c r="E33" s="9" t="str">
        <f>+HYPERLINK("http://trademark.i-assist.jp/data/china/image_1882th/69623952.pdf","69623952")</f>
        <v>69623952</v>
      </c>
      <c r="F33" s="6" t="s">
        <v>95</v>
      </c>
      <c r="G33" s="6" t="s">
        <v>96</v>
      </c>
      <c r="H33" s="8" t="s">
        <v>97</v>
      </c>
      <c r="I33" s="14">
        <v>44973</v>
      </c>
    </row>
    <row r="34" spans="1:9" x14ac:dyDescent="0.15">
      <c r="A34" s="5">
        <v>33</v>
      </c>
      <c r="B34" s="6" t="s">
        <v>9</v>
      </c>
      <c r="C34" s="7">
        <v>1882</v>
      </c>
      <c r="D34" s="8">
        <v>45388</v>
      </c>
      <c r="E34" s="9" t="str">
        <f>+HYPERLINK("http://trademark.i-assist.jp/data/china/image_1882th/69800173.pdf","69800173")</f>
        <v>69800173</v>
      </c>
      <c r="F34" s="6" t="s">
        <v>26</v>
      </c>
      <c r="G34" s="6" t="s">
        <v>98</v>
      </c>
      <c r="H34" s="8" t="s">
        <v>99</v>
      </c>
      <c r="I34" s="14">
        <v>44981</v>
      </c>
    </row>
    <row r="35" spans="1:9" x14ac:dyDescent="0.15">
      <c r="A35" s="5">
        <v>34</v>
      </c>
      <c r="B35" s="6" t="s">
        <v>9</v>
      </c>
      <c r="C35" s="7">
        <v>1882</v>
      </c>
      <c r="D35" s="8">
        <v>45388</v>
      </c>
      <c r="E35" s="9" t="str">
        <f>+HYPERLINK("http://trademark.i-assist.jp/data/china/image_1882th/69833025.pdf","69833025")</f>
        <v>69833025</v>
      </c>
      <c r="F35" s="6" t="s">
        <v>100</v>
      </c>
      <c r="G35" s="6" t="s">
        <v>101</v>
      </c>
      <c r="H35" s="8" t="s">
        <v>102</v>
      </c>
      <c r="I35" s="14">
        <v>44984</v>
      </c>
    </row>
    <row r="36" spans="1:9" x14ac:dyDescent="0.15">
      <c r="A36" s="5">
        <v>35</v>
      </c>
      <c r="B36" s="6" t="s">
        <v>9</v>
      </c>
      <c r="C36" s="7">
        <v>1882</v>
      </c>
      <c r="D36" s="8">
        <v>45388</v>
      </c>
      <c r="E36" s="9" t="str">
        <f>+HYPERLINK("http://trademark.i-assist.jp/data/china/image_1882th/69875949.pdf","69875949")</f>
        <v>69875949</v>
      </c>
      <c r="F36" s="6" t="s">
        <v>26</v>
      </c>
      <c r="G36" s="6" t="s">
        <v>103</v>
      </c>
      <c r="H36" s="8" t="s">
        <v>104</v>
      </c>
      <c r="I36" s="14">
        <v>44986</v>
      </c>
    </row>
    <row r="37" spans="1:9" x14ac:dyDescent="0.15">
      <c r="A37" s="5">
        <v>36</v>
      </c>
      <c r="B37" s="6" t="s">
        <v>9</v>
      </c>
      <c r="C37" s="7">
        <v>1882</v>
      </c>
      <c r="D37" s="8">
        <v>45388</v>
      </c>
      <c r="E37" s="9" t="str">
        <f>+HYPERLINK("http://trademark.i-assist.jp/data/china/image_1882th/70166382.pdf","70166382")</f>
        <v>70166382</v>
      </c>
      <c r="F37" s="6" t="s">
        <v>105</v>
      </c>
      <c r="G37" s="6" t="s">
        <v>106</v>
      </c>
      <c r="H37" s="8" t="s">
        <v>107</v>
      </c>
      <c r="I37" s="14">
        <v>44999</v>
      </c>
    </row>
    <row r="38" spans="1:9" x14ac:dyDescent="0.15">
      <c r="A38" s="5">
        <v>37</v>
      </c>
      <c r="B38" s="6" t="s">
        <v>9</v>
      </c>
      <c r="C38" s="7">
        <v>1882</v>
      </c>
      <c r="D38" s="8">
        <v>45388</v>
      </c>
      <c r="E38" s="9" t="str">
        <f>+HYPERLINK("http://trademark.i-assist.jp/data/china/image_1882th/70204595.pdf","70204595")</f>
        <v>70204595</v>
      </c>
      <c r="F38" s="6" t="s">
        <v>108</v>
      </c>
      <c r="G38" s="6" t="s">
        <v>109</v>
      </c>
      <c r="H38" s="8" t="s">
        <v>110</v>
      </c>
      <c r="I38" s="14">
        <v>45000</v>
      </c>
    </row>
    <row r="39" spans="1:9" x14ac:dyDescent="0.15">
      <c r="A39" s="5">
        <v>38</v>
      </c>
      <c r="B39" s="6" t="s">
        <v>9</v>
      </c>
      <c r="C39" s="7">
        <v>1882</v>
      </c>
      <c r="D39" s="8">
        <v>45388</v>
      </c>
      <c r="E39" s="9" t="str">
        <f>+HYPERLINK("http://trademark.i-assist.jp/data/china/image_1882th/70242158.pdf","70242158")</f>
        <v>70242158</v>
      </c>
      <c r="F39" s="6" t="s">
        <v>111</v>
      </c>
      <c r="G39" s="6" t="s">
        <v>112</v>
      </c>
      <c r="H39" s="8" t="s">
        <v>113</v>
      </c>
      <c r="I39" s="14">
        <v>45001</v>
      </c>
    </row>
    <row r="40" spans="1:9" x14ac:dyDescent="0.15">
      <c r="A40" s="5">
        <v>39</v>
      </c>
      <c r="B40" s="6" t="s">
        <v>9</v>
      </c>
      <c r="C40" s="7">
        <v>1882</v>
      </c>
      <c r="D40" s="8">
        <v>45388</v>
      </c>
      <c r="E40" s="9" t="str">
        <f>+HYPERLINK("http://trademark.i-assist.jp/data/china/image_1882th/70244028.pdf","70244028")</f>
        <v>70244028</v>
      </c>
      <c r="F40" s="6" t="s">
        <v>114</v>
      </c>
      <c r="G40" s="6" t="s">
        <v>112</v>
      </c>
      <c r="H40" s="8" t="s">
        <v>115</v>
      </c>
      <c r="I40" s="14">
        <v>45001</v>
      </c>
    </row>
    <row r="41" spans="1:9" x14ac:dyDescent="0.15">
      <c r="A41" s="5">
        <v>40</v>
      </c>
      <c r="B41" s="6" t="s">
        <v>9</v>
      </c>
      <c r="C41" s="7">
        <v>1882</v>
      </c>
      <c r="D41" s="8">
        <v>45388</v>
      </c>
      <c r="E41" s="9" t="str">
        <f>+HYPERLINK("http://trademark.i-assist.jp/data/china/image_1882th/70312251.pdf","70312251")</f>
        <v>70312251</v>
      </c>
      <c r="F41" s="6" t="s">
        <v>116</v>
      </c>
      <c r="G41" s="6" t="s">
        <v>117</v>
      </c>
      <c r="H41" s="8" t="s">
        <v>118</v>
      </c>
      <c r="I41" s="14">
        <v>45005</v>
      </c>
    </row>
    <row r="42" spans="1:9" x14ac:dyDescent="0.15">
      <c r="A42" s="5">
        <v>41</v>
      </c>
      <c r="B42" s="6" t="s">
        <v>9</v>
      </c>
      <c r="C42" s="7">
        <v>1882</v>
      </c>
      <c r="D42" s="8">
        <v>45388</v>
      </c>
      <c r="E42" s="9" t="str">
        <f>+HYPERLINK("http://trademark.i-assist.jp/data/china/image_1882th/70344947.pdf","70344947")</f>
        <v>70344947</v>
      </c>
      <c r="F42" s="6" t="s">
        <v>119</v>
      </c>
      <c r="G42" s="6" t="s">
        <v>120</v>
      </c>
      <c r="H42" s="8" t="s">
        <v>121</v>
      </c>
      <c r="I42" s="14">
        <v>45006</v>
      </c>
    </row>
    <row r="43" spans="1:9" x14ac:dyDescent="0.15">
      <c r="A43" s="5">
        <v>42</v>
      </c>
      <c r="B43" s="6" t="s">
        <v>9</v>
      </c>
      <c r="C43" s="7">
        <v>1882</v>
      </c>
      <c r="D43" s="8">
        <v>45388</v>
      </c>
      <c r="E43" s="9" t="str">
        <f>+HYPERLINK("http://trademark.i-assist.jp/data/china/image_1882th/70370653.pdf","70370653")</f>
        <v>70370653</v>
      </c>
      <c r="F43" s="6" t="s">
        <v>122</v>
      </c>
      <c r="G43" s="6" t="s">
        <v>123</v>
      </c>
      <c r="H43" s="8" t="s">
        <v>124</v>
      </c>
      <c r="I43" s="14">
        <v>45007</v>
      </c>
    </row>
    <row r="44" spans="1:9" x14ac:dyDescent="0.15">
      <c r="A44" s="5">
        <v>43</v>
      </c>
      <c r="B44" s="6" t="s">
        <v>9</v>
      </c>
      <c r="C44" s="7">
        <v>1882</v>
      </c>
      <c r="D44" s="8">
        <v>45388</v>
      </c>
      <c r="E44" s="9" t="str">
        <f>+HYPERLINK("http://trademark.i-assist.jp/data/china/image_1882th/70374585.pdf","70374585")</f>
        <v>70374585</v>
      </c>
      <c r="F44" s="6" t="s">
        <v>125</v>
      </c>
      <c r="G44" s="6" t="s">
        <v>126</v>
      </c>
      <c r="H44" s="8" t="s">
        <v>127</v>
      </c>
      <c r="I44" s="14">
        <v>45007</v>
      </c>
    </row>
    <row r="45" spans="1:9" x14ac:dyDescent="0.15">
      <c r="A45" s="5">
        <v>44</v>
      </c>
      <c r="B45" s="6" t="s">
        <v>9</v>
      </c>
      <c r="C45" s="7">
        <v>1882</v>
      </c>
      <c r="D45" s="8">
        <v>45388</v>
      </c>
      <c r="E45" s="9" t="str">
        <f>+HYPERLINK("http://trademark.i-assist.jp/data/china/image_1882th/70569357.pdf","70569357")</f>
        <v>70569357</v>
      </c>
      <c r="F45" s="6" t="s">
        <v>128</v>
      </c>
      <c r="G45" s="6" t="s">
        <v>129</v>
      </c>
      <c r="H45" s="8" t="s">
        <v>130</v>
      </c>
      <c r="I45" s="14">
        <v>45015</v>
      </c>
    </row>
    <row r="46" spans="1:9" x14ac:dyDescent="0.15">
      <c r="A46" s="5">
        <v>45</v>
      </c>
      <c r="B46" s="6" t="s">
        <v>9</v>
      </c>
      <c r="C46" s="7">
        <v>1882</v>
      </c>
      <c r="D46" s="8">
        <v>45388</v>
      </c>
      <c r="E46" s="9" t="str">
        <f>+HYPERLINK("http://trademark.i-assist.jp/data/china/image_1882th/70571455.pdf","70571455")</f>
        <v>70571455</v>
      </c>
      <c r="F46" s="6" t="s">
        <v>131</v>
      </c>
      <c r="G46" s="6" t="s">
        <v>132</v>
      </c>
      <c r="H46" s="8" t="s">
        <v>133</v>
      </c>
      <c r="I46" s="14">
        <v>45015</v>
      </c>
    </row>
    <row r="47" spans="1:9" x14ac:dyDescent="0.15">
      <c r="A47" s="5">
        <v>46</v>
      </c>
      <c r="B47" s="6" t="s">
        <v>9</v>
      </c>
      <c r="C47" s="7">
        <v>1882</v>
      </c>
      <c r="D47" s="8">
        <v>45388</v>
      </c>
      <c r="E47" s="9" t="str">
        <f>+HYPERLINK("http://trademark.i-assist.jp/data/china/image_1882th/70665326.pdf","70665326")</f>
        <v>70665326</v>
      </c>
      <c r="F47" s="6" t="s">
        <v>134</v>
      </c>
      <c r="G47" s="6" t="s">
        <v>135</v>
      </c>
      <c r="H47" s="8" t="s">
        <v>136</v>
      </c>
      <c r="I47" s="14">
        <v>45020</v>
      </c>
    </row>
    <row r="48" spans="1:9" x14ac:dyDescent="0.15">
      <c r="A48" s="5">
        <v>47</v>
      </c>
      <c r="B48" s="6" t="s">
        <v>9</v>
      </c>
      <c r="C48" s="7">
        <v>1882</v>
      </c>
      <c r="D48" s="8">
        <v>45388</v>
      </c>
      <c r="E48" s="9" t="str">
        <f>+HYPERLINK("http://trademark.i-assist.jp/data/china/image_1882th/70708958.pdf","70708958")</f>
        <v>70708958</v>
      </c>
      <c r="F48" s="6" t="s">
        <v>137</v>
      </c>
      <c r="G48" s="6" t="s">
        <v>138</v>
      </c>
      <c r="H48" s="8" t="s">
        <v>139</v>
      </c>
      <c r="I48" s="14">
        <v>45022</v>
      </c>
    </row>
    <row r="49" spans="1:9" x14ac:dyDescent="0.15">
      <c r="A49" s="5">
        <v>48</v>
      </c>
      <c r="B49" s="6" t="s">
        <v>9</v>
      </c>
      <c r="C49" s="7">
        <v>1882</v>
      </c>
      <c r="D49" s="8">
        <v>45388</v>
      </c>
      <c r="E49" s="9" t="str">
        <f>+HYPERLINK("http://trademark.i-assist.jp/data/china/image_1882th/70872918.pdf","70872918")</f>
        <v>70872918</v>
      </c>
      <c r="F49" s="6" t="s">
        <v>140</v>
      </c>
      <c r="G49" s="6" t="s">
        <v>141</v>
      </c>
      <c r="H49" s="8" t="s">
        <v>142</v>
      </c>
      <c r="I49" s="14">
        <v>45029</v>
      </c>
    </row>
    <row r="50" spans="1:9" x14ac:dyDescent="0.15">
      <c r="A50" s="5">
        <v>49</v>
      </c>
      <c r="B50" s="6" t="s">
        <v>9</v>
      </c>
      <c r="C50" s="7">
        <v>1882</v>
      </c>
      <c r="D50" s="8">
        <v>45388</v>
      </c>
      <c r="E50" s="9" t="str">
        <f>+HYPERLINK("http://trademark.i-assist.jp/data/china/image_1882th/70907454.pdf","70907454")</f>
        <v>70907454</v>
      </c>
      <c r="F50" s="6" t="s">
        <v>143</v>
      </c>
      <c r="G50" s="6" t="s">
        <v>144</v>
      </c>
      <c r="H50" s="8" t="s">
        <v>145</v>
      </c>
      <c r="I50" s="14">
        <v>45030</v>
      </c>
    </row>
    <row r="51" spans="1:9" x14ac:dyDescent="0.15">
      <c r="A51" s="5">
        <v>50</v>
      </c>
      <c r="B51" s="6" t="s">
        <v>9</v>
      </c>
      <c r="C51" s="7">
        <v>1882</v>
      </c>
      <c r="D51" s="8">
        <v>45388</v>
      </c>
      <c r="E51" s="9" t="str">
        <f>+HYPERLINK("http://trademark.i-assist.jp/data/china/image_1882th/71030229.pdf","71030229")</f>
        <v>71030229</v>
      </c>
      <c r="F51" s="6" t="s">
        <v>146</v>
      </c>
      <c r="G51" s="6" t="s">
        <v>147</v>
      </c>
      <c r="H51" s="8" t="s">
        <v>148</v>
      </c>
      <c r="I51" s="14">
        <v>45036</v>
      </c>
    </row>
    <row r="52" spans="1:9" x14ac:dyDescent="0.15">
      <c r="A52" s="5">
        <v>51</v>
      </c>
      <c r="B52" s="6" t="s">
        <v>9</v>
      </c>
      <c r="C52" s="7">
        <v>1882</v>
      </c>
      <c r="D52" s="8">
        <v>45388</v>
      </c>
      <c r="E52" s="9" t="str">
        <f>+HYPERLINK("http://trademark.i-assist.jp/data/china/image_1882th/71035657.pdf","71035657")</f>
        <v>71035657</v>
      </c>
      <c r="F52" s="6" t="s">
        <v>149</v>
      </c>
      <c r="G52" s="6" t="s">
        <v>150</v>
      </c>
      <c r="H52" s="8" t="s">
        <v>151</v>
      </c>
      <c r="I52" s="14">
        <v>45036</v>
      </c>
    </row>
    <row r="53" spans="1:9" x14ac:dyDescent="0.15">
      <c r="A53" s="5">
        <v>52</v>
      </c>
      <c r="B53" s="6" t="s">
        <v>9</v>
      </c>
      <c r="C53" s="7">
        <v>1882</v>
      </c>
      <c r="D53" s="8">
        <v>45388</v>
      </c>
      <c r="E53" s="9" t="str">
        <f>+HYPERLINK("http://trademark.i-assist.jp/data/china/image_1882th/71036670.pdf","71036670")</f>
        <v>71036670</v>
      </c>
      <c r="F53" s="6" t="s">
        <v>152</v>
      </c>
      <c r="G53" s="6" t="s">
        <v>153</v>
      </c>
      <c r="H53" s="8" t="s">
        <v>154</v>
      </c>
      <c r="I53" s="14">
        <v>45036</v>
      </c>
    </row>
    <row r="54" spans="1:9" x14ac:dyDescent="0.15">
      <c r="A54" s="5">
        <v>53</v>
      </c>
      <c r="B54" s="6" t="s">
        <v>9</v>
      </c>
      <c r="C54" s="7">
        <v>1882</v>
      </c>
      <c r="D54" s="8">
        <v>45388</v>
      </c>
      <c r="E54" s="9" t="str">
        <f>+HYPERLINK("http://trademark.i-assist.jp/data/china/image_1882th/71050606.pdf","71050606")</f>
        <v>71050606</v>
      </c>
      <c r="F54" s="6" t="s">
        <v>155</v>
      </c>
      <c r="G54" s="6" t="s">
        <v>153</v>
      </c>
      <c r="H54" s="8" t="s">
        <v>156</v>
      </c>
      <c r="I54" s="14">
        <v>45036</v>
      </c>
    </row>
    <row r="55" spans="1:9" x14ac:dyDescent="0.15">
      <c r="A55" s="5">
        <v>54</v>
      </c>
      <c r="B55" s="6" t="s">
        <v>9</v>
      </c>
      <c r="C55" s="7">
        <v>1882</v>
      </c>
      <c r="D55" s="8">
        <v>45388</v>
      </c>
      <c r="E55" s="9" t="str">
        <f>+HYPERLINK("http://trademark.i-assist.jp/data/china/image_1882th/71148604.pdf","71148604")</f>
        <v>71148604</v>
      </c>
      <c r="F55" s="6" t="s">
        <v>157</v>
      </c>
      <c r="G55" s="6" t="s">
        <v>158</v>
      </c>
      <c r="H55" s="8" t="s">
        <v>159</v>
      </c>
      <c r="I55" s="14">
        <v>45040</v>
      </c>
    </row>
    <row r="56" spans="1:9" x14ac:dyDescent="0.15">
      <c r="A56" s="5">
        <v>55</v>
      </c>
      <c r="B56" s="6" t="s">
        <v>9</v>
      </c>
      <c r="C56" s="7">
        <v>1882</v>
      </c>
      <c r="D56" s="8">
        <v>45388</v>
      </c>
      <c r="E56" s="9" t="str">
        <f>+HYPERLINK("http://trademark.i-assist.jp/data/china/image_1882th/71163023.pdf","71163023")</f>
        <v>71163023</v>
      </c>
      <c r="F56" s="6" t="s">
        <v>160</v>
      </c>
      <c r="G56" s="6" t="s">
        <v>161</v>
      </c>
      <c r="H56" s="8" t="s">
        <v>162</v>
      </c>
      <c r="I56" s="14">
        <v>45041</v>
      </c>
    </row>
    <row r="57" spans="1:9" x14ac:dyDescent="0.15">
      <c r="A57" s="5">
        <v>56</v>
      </c>
      <c r="B57" s="6" t="s">
        <v>9</v>
      </c>
      <c r="C57" s="7">
        <v>1882</v>
      </c>
      <c r="D57" s="8">
        <v>45388</v>
      </c>
      <c r="E57" s="9" t="str">
        <f>+HYPERLINK("http://trademark.i-assist.jp/data/china/image_1882th/71245908.pdf","71245908")</f>
        <v>71245908</v>
      </c>
      <c r="F57" s="6" t="s">
        <v>163</v>
      </c>
      <c r="G57" s="6" t="s">
        <v>164</v>
      </c>
      <c r="H57" s="8" t="s">
        <v>165</v>
      </c>
      <c r="I57" s="14">
        <v>45044</v>
      </c>
    </row>
    <row r="58" spans="1:9" x14ac:dyDescent="0.15">
      <c r="A58" s="5">
        <v>57</v>
      </c>
      <c r="B58" s="6" t="s">
        <v>9</v>
      </c>
      <c r="C58" s="7">
        <v>1882</v>
      </c>
      <c r="D58" s="8">
        <v>45388</v>
      </c>
      <c r="E58" s="9" t="str">
        <f>+HYPERLINK("http://trademark.i-assist.jp/data/china/image_1882th/71258151.pdf","71258151")</f>
        <v>71258151</v>
      </c>
      <c r="F58" s="6" t="s">
        <v>166</v>
      </c>
      <c r="G58" s="6" t="s">
        <v>167</v>
      </c>
      <c r="H58" s="8" t="s">
        <v>168</v>
      </c>
      <c r="I58" s="14">
        <v>45044</v>
      </c>
    </row>
    <row r="59" spans="1:9" x14ac:dyDescent="0.15">
      <c r="A59" s="5">
        <v>58</v>
      </c>
      <c r="B59" s="6" t="s">
        <v>9</v>
      </c>
      <c r="C59" s="7">
        <v>1882</v>
      </c>
      <c r="D59" s="8">
        <v>45388</v>
      </c>
      <c r="E59" s="9" t="str">
        <f>+HYPERLINK("http://trademark.i-assist.jp/data/china/image_1882th/71258422.pdf","71258422")</f>
        <v>71258422</v>
      </c>
      <c r="F59" s="6" t="s">
        <v>169</v>
      </c>
      <c r="G59" s="6" t="s">
        <v>170</v>
      </c>
      <c r="H59" s="8" t="s">
        <v>171</v>
      </c>
      <c r="I59" s="14">
        <v>45044</v>
      </c>
    </row>
    <row r="60" spans="1:9" x14ac:dyDescent="0.15">
      <c r="A60" s="5">
        <v>59</v>
      </c>
      <c r="B60" s="6" t="s">
        <v>9</v>
      </c>
      <c r="C60" s="7">
        <v>1882</v>
      </c>
      <c r="D60" s="8">
        <v>45388</v>
      </c>
      <c r="E60" s="9" t="str">
        <f>+HYPERLINK("http://trademark.i-assist.jp/data/china/image_1882th/71293367.pdf","71293367")</f>
        <v>71293367</v>
      </c>
      <c r="F60" s="6" t="s">
        <v>172</v>
      </c>
      <c r="G60" s="6" t="s">
        <v>173</v>
      </c>
      <c r="H60" s="8" t="s">
        <v>174</v>
      </c>
      <c r="I60" s="14">
        <v>45050</v>
      </c>
    </row>
    <row r="61" spans="1:9" x14ac:dyDescent="0.15">
      <c r="A61" s="5">
        <v>60</v>
      </c>
      <c r="B61" s="6" t="s">
        <v>9</v>
      </c>
      <c r="C61" s="7">
        <v>1882</v>
      </c>
      <c r="D61" s="8">
        <v>45388</v>
      </c>
      <c r="E61" s="9" t="str">
        <f>+HYPERLINK("http://trademark.i-assist.jp/data/china/image_1882th/71398264.pdf","71398264")</f>
        <v>71398264</v>
      </c>
      <c r="F61" s="6" t="s">
        <v>175</v>
      </c>
      <c r="G61" s="6" t="s">
        <v>176</v>
      </c>
      <c r="H61" s="8" t="s">
        <v>177</v>
      </c>
      <c r="I61" s="14">
        <v>45054</v>
      </c>
    </row>
    <row r="62" spans="1:9" x14ac:dyDescent="0.15">
      <c r="A62" s="5">
        <v>61</v>
      </c>
      <c r="B62" s="6" t="s">
        <v>9</v>
      </c>
      <c r="C62" s="7">
        <v>1882</v>
      </c>
      <c r="D62" s="8">
        <v>45388</v>
      </c>
      <c r="E62" s="9" t="str">
        <f>+HYPERLINK("http://trademark.i-assist.jp/data/china/image_1882th/71460835.pdf","71460835")</f>
        <v>71460835</v>
      </c>
      <c r="F62" s="6" t="s">
        <v>178</v>
      </c>
      <c r="G62" s="6" t="s">
        <v>179</v>
      </c>
      <c r="H62" s="8" t="s">
        <v>180</v>
      </c>
      <c r="I62" s="14">
        <v>45056</v>
      </c>
    </row>
    <row r="63" spans="1:9" x14ac:dyDescent="0.15">
      <c r="A63" s="5">
        <v>62</v>
      </c>
      <c r="B63" s="6" t="s">
        <v>9</v>
      </c>
      <c r="C63" s="7">
        <v>1882</v>
      </c>
      <c r="D63" s="8">
        <v>45388</v>
      </c>
      <c r="E63" s="9" t="str">
        <f>+HYPERLINK("http://trademark.i-assist.jp/data/china/image_1882th/71501377.pdf","71501377")</f>
        <v>71501377</v>
      </c>
      <c r="F63" s="6" t="s">
        <v>26</v>
      </c>
      <c r="G63" s="6" t="s">
        <v>181</v>
      </c>
      <c r="H63" s="8" t="s">
        <v>182</v>
      </c>
      <c r="I63" s="14">
        <v>45058</v>
      </c>
    </row>
    <row r="64" spans="1:9" x14ac:dyDescent="0.15">
      <c r="A64" s="5">
        <v>63</v>
      </c>
      <c r="B64" s="6" t="s">
        <v>9</v>
      </c>
      <c r="C64" s="7">
        <v>1882</v>
      </c>
      <c r="D64" s="8">
        <v>45388</v>
      </c>
      <c r="E64" s="9" t="str">
        <f>+HYPERLINK("http://trademark.i-assist.jp/data/china/image_1882th/71505510.pdf","71505510")</f>
        <v>71505510</v>
      </c>
      <c r="F64" s="6" t="s">
        <v>183</v>
      </c>
      <c r="G64" s="6" t="s">
        <v>184</v>
      </c>
      <c r="H64" s="8" t="s">
        <v>185</v>
      </c>
      <c r="I64" s="14">
        <v>45058</v>
      </c>
    </row>
    <row r="65" spans="1:9" x14ac:dyDescent="0.15">
      <c r="A65" s="5">
        <v>64</v>
      </c>
      <c r="B65" s="6" t="s">
        <v>9</v>
      </c>
      <c r="C65" s="7">
        <v>1882</v>
      </c>
      <c r="D65" s="8">
        <v>45388</v>
      </c>
      <c r="E65" s="9" t="str">
        <f>+HYPERLINK("http://trademark.i-assist.jp/data/china/image_1882th/71553903.pdf","71553903")</f>
        <v>71553903</v>
      </c>
      <c r="F65" s="6" t="s">
        <v>186</v>
      </c>
      <c r="G65" s="6" t="s">
        <v>187</v>
      </c>
      <c r="H65" s="8" t="s">
        <v>188</v>
      </c>
      <c r="I65" s="14">
        <v>45061</v>
      </c>
    </row>
    <row r="66" spans="1:9" x14ac:dyDescent="0.15">
      <c r="A66" s="5">
        <v>65</v>
      </c>
      <c r="B66" s="6" t="s">
        <v>9</v>
      </c>
      <c r="C66" s="7">
        <v>1882</v>
      </c>
      <c r="D66" s="8">
        <v>45388</v>
      </c>
      <c r="E66" s="9" t="str">
        <f>+HYPERLINK("http://trademark.i-assist.jp/data/china/image_1882th/71583191.pdf","71583191")</f>
        <v>71583191</v>
      </c>
      <c r="F66" s="6" t="s">
        <v>189</v>
      </c>
      <c r="G66" s="6" t="s">
        <v>190</v>
      </c>
      <c r="H66" s="8" t="s">
        <v>191</v>
      </c>
      <c r="I66" s="14">
        <v>45062</v>
      </c>
    </row>
    <row r="67" spans="1:9" x14ac:dyDescent="0.15">
      <c r="A67" s="5">
        <v>66</v>
      </c>
      <c r="B67" s="6" t="s">
        <v>9</v>
      </c>
      <c r="C67" s="7">
        <v>1882</v>
      </c>
      <c r="D67" s="8">
        <v>45388</v>
      </c>
      <c r="E67" s="9" t="str">
        <f>+HYPERLINK("http://trademark.i-assist.jp/data/china/image_1882th/71681373.pdf","71681373")</f>
        <v>71681373</v>
      </c>
      <c r="F67" s="6" t="s">
        <v>192</v>
      </c>
      <c r="G67" s="6" t="s">
        <v>193</v>
      </c>
      <c r="H67" s="8" t="s">
        <v>194</v>
      </c>
      <c r="I67" s="14">
        <v>45065</v>
      </c>
    </row>
    <row r="68" spans="1:9" x14ac:dyDescent="0.15">
      <c r="A68" s="5">
        <v>67</v>
      </c>
      <c r="B68" s="6" t="s">
        <v>9</v>
      </c>
      <c r="C68" s="7">
        <v>1882</v>
      </c>
      <c r="D68" s="8">
        <v>45388</v>
      </c>
      <c r="E68" s="9" t="str">
        <f>+HYPERLINK("http://trademark.i-assist.jp/data/china/image_1882th/71744938.pdf","71744938")</f>
        <v>71744938</v>
      </c>
      <c r="F68" s="6" t="s">
        <v>195</v>
      </c>
      <c r="G68" s="6" t="s">
        <v>196</v>
      </c>
      <c r="H68" s="8" t="s">
        <v>197</v>
      </c>
      <c r="I68" s="14">
        <v>45069</v>
      </c>
    </row>
    <row r="69" spans="1:9" x14ac:dyDescent="0.15">
      <c r="A69" s="5">
        <v>68</v>
      </c>
      <c r="B69" s="6" t="s">
        <v>9</v>
      </c>
      <c r="C69" s="7">
        <v>1882</v>
      </c>
      <c r="D69" s="8">
        <v>45388</v>
      </c>
      <c r="E69" s="9" t="str">
        <f>+HYPERLINK("http://trademark.i-assist.jp/data/china/image_1882th/71765607.pdf","71765607")</f>
        <v>71765607</v>
      </c>
      <c r="F69" s="6" t="s">
        <v>198</v>
      </c>
      <c r="G69" s="6" t="s">
        <v>199</v>
      </c>
      <c r="H69" s="8" t="s">
        <v>200</v>
      </c>
      <c r="I69" s="14">
        <v>45070</v>
      </c>
    </row>
    <row r="70" spans="1:9" x14ac:dyDescent="0.15">
      <c r="A70" s="5">
        <v>69</v>
      </c>
      <c r="B70" s="6" t="s">
        <v>9</v>
      </c>
      <c r="C70" s="7">
        <v>1882</v>
      </c>
      <c r="D70" s="8">
        <v>45388</v>
      </c>
      <c r="E70" s="9" t="str">
        <f>+HYPERLINK("http://trademark.i-assist.jp/data/china/image_1882th/71804581.pdf","71804581")</f>
        <v>71804581</v>
      </c>
      <c r="F70" s="6" t="s">
        <v>201</v>
      </c>
      <c r="G70" s="6" t="s">
        <v>202</v>
      </c>
      <c r="H70" s="8" t="s">
        <v>203</v>
      </c>
      <c r="I70" s="14">
        <v>45071</v>
      </c>
    </row>
    <row r="71" spans="1:9" x14ac:dyDescent="0.15">
      <c r="A71" s="5">
        <v>70</v>
      </c>
      <c r="B71" s="6" t="s">
        <v>9</v>
      </c>
      <c r="C71" s="7">
        <v>1882</v>
      </c>
      <c r="D71" s="8">
        <v>45388</v>
      </c>
      <c r="E71" s="9" t="str">
        <f>+HYPERLINK("http://trademark.i-assist.jp/data/china/image_1882th/71805669.pdf","71805669")</f>
        <v>71805669</v>
      </c>
      <c r="F71" s="6" t="s">
        <v>204</v>
      </c>
      <c r="G71" s="6" t="s">
        <v>205</v>
      </c>
      <c r="H71" s="8" t="s">
        <v>206</v>
      </c>
      <c r="I71" s="14">
        <v>45071</v>
      </c>
    </row>
    <row r="72" spans="1:9" x14ac:dyDescent="0.15">
      <c r="A72" s="5">
        <v>71</v>
      </c>
      <c r="B72" s="6" t="s">
        <v>9</v>
      </c>
      <c r="C72" s="7">
        <v>1882</v>
      </c>
      <c r="D72" s="8">
        <v>45388</v>
      </c>
      <c r="E72" s="9" t="str">
        <f>+HYPERLINK("http://trademark.i-assist.jp/data/china/image_1882th/71808347.pdf","71808347")</f>
        <v>71808347</v>
      </c>
      <c r="F72" s="6" t="s">
        <v>207</v>
      </c>
      <c r="G72" s="6" t="s">
        <v>208</v>
      </c>
      <c r="H72" s="8" t="s">
        <v>209</v>
      </c>
      <c r="I72" s="14">
        <v>45071</v>
      </c>
    </row>
    <row r="73" spans="1:9" x14ac:dyDescent="0.15">
      <c r="A73" s="5">
        <v>72</v>
      </c>
      <c r="B73" s="6" t="s">
        <v>9</v>
      </c>
      <c r="C73" s="7">
        <v>1882</v>
      </c>
      <c r="D73" s="8">
        <v>45388</v>
      </c>
      <c r="E73" s="9" t="str">
        <f>+HYPERLINK("http://trademark.i-assist.jp/data/china/image_1882th/71818251.pdf","71818251")</f>
        <v>71818251</v>
      </c>
      <c r="F73" s="6" t="s">
        <v>210</v>
      </c>
      <c r="G73" s="6" t="s">
        <v>211</v>
      </c>
      <c r="H73" s="8" t="s">
        <v>212</v>
      </c>
      <c r="I73" s="14">
        <v>45071</v>
      </c>
    </row>
    <row r="74" spans="1:9" x14ac:dyDescent="0.15">
      <c r="A74" s="5">
        <v>73</v>
      </c>
      <c r="B74" s="6" t="s">
        <v>9</v>
      </c>
      <c r="C74" s="7">
        <v>1882</v>
      </c>
      <c r="D74" s="8">
        <v>45388</v>
      </c>
      <c r="E74" s="9" t="str">
        <f>+HYPERLINK("http://trademark.i-assist.jp/data/china/image_1882th/71850334.pdf","71850334")</f>
        <v>71850334</v>
      </c>
      <c r="F74" s="6" t="s">
        <v>213</v>
      </c>
      <c r="G74" s="6" t="s">
        <v>214</v>
      </c>
      <c r="H74" s="8" t="s">
        <v>215</v>
      </c>
      <c r="I74" s="14">
        <v>45072</v>
      </c>
    </row>
    <row r="75" spans="1:9" x14ac:dyDescent="0.15">
      <c r="A75" s="5">
        <v>74</v>
      </c>
      <c r="B75" s="6" t="s">
        <v>9</v>
      </c>
      <c r="C75" s="7">
        <v>1882</v>
      </c>
      <c r="D75" s="8">
        <v>45388</v>
      </c>
      <c r="E75" s="9" t="str">
        <f>+HYPERLINK("http://trademark.i-assist.jp/data/china/image_1882th/71858854.pdf","71858854")</f>
        <v>71858854</v>
      </c>
      <c r="F75" s="6" t="s">
        <v>216</v>
      </c>
      <c r="G75" s="6" t="s">
        <v>217</v>
      </c>
      <c r="H75" s="8" t="s">
        <v>218</v>
      </c>
      <c r="I75" s="14">
        <v>45073</v>
      </c>
    </row>
    <row r="76" spans="1:9" x14ac:dyDescent="0.15">
      <c r="A76" s="5">
        <v>75</v>
      </c>
      <c r="B76" s="6" t="s">
        <v>9</v>
      </c>
      <c r="C76" s="7">
        <v>1882</v>
      </c>
      <c r="D76" s="8">
        <v>45388</v>
      </c>
      <c r="E76" s="9" t="str">
        <f>+HYPERLINK("http://trademark.i-assist.jp/data/china/image_1882th/71930275.pdf","71930275")</f>
        <v>71930275</v>
      </c>
      <c r="F76" s="6" t="s">
        <v>219</v>
      </c>
      <c r="G76" s="6" t="s">
        <v>220</v>
      </c>
      <c r="H76" s="8" t="s">
        <v>221</v>
      </c>
      <c r="I76" s="14">
        <v>45077</v>
      </c>
    </row>
    <row r="77" spans="1:9" x14ac:dyDescent="0.15">
      <c r="A77" s="5">
        <v>76</v>
      </c>
      <c r="B77" s="6" t="s">
        <v>9</v>
      </c>
      <c r="C77" s="7">
        <v>1882</v>
      </c>
      <c r="D77" s="8">
        <v>45388</v>
      </c>
      <c r="E77" s="9" t="str">
        <f>+HYPERLINK("http://trademark.i-assist.jp/data/china/image_1882th/71976699.pdf","71976699")</f>
        <v>71976699</v>
      </c>
      <c r="F77" s="6" t="s">
        <v>222</v>
      </c>
      <c r="G77" s="6" t="s">
        <v>223</v>
      </c>
      <c r="H77" s="8" t="s">
        <v>224</v>
      </c>
      <c r="I77" s="14">
        <v>45078</v>
      </c>
    </row>
    <row r="78" spans="1:9" x14ac:dyDescent="0.15">
      <c r="A78" s="5">
        <v>77</v>
      </c>
      <c r="B78" s="6" t="s">
        <v>9</v>
      </c>
      <c r="C78" s="7">
        <v>1882</v>
      </c>
      <c r="D78" s="8">
        <v>45388</v>
      </c>
      <c r="E78" s="9" t="str">
        <f>+HYPERLINK("http://trademark.i-assist.jp/data/china/image_1882th/71994129.pdf","71994129")</f>
        <v>71994129</v>
      </c>
      <c r="F78" s="6" t="s">
        <v>225</v>
      </c>
      <c r="G78" s="6" t="s">
        <v>226</v>
      </c>
      <c r="H78" s="8" t="s">
        <v>227</v>
      </c>
      <c r="I78" s="14">
        <v>45079</v>
      </c>
    </row>
    <row r="79" spans="1:9" x14ac:dyDescent="0.15">
      <c r="A79" s="5">
        <v>78</v>
      </c>
      <c r="B79" s="6" t="s">
        <v>9</v>
      </c>
      <c r="C79" s="7">
        <v>1882</v>
      </c>
      <c r="D79" s="8">
        <v>45388</v>
      </c>
      <c r="E79" s="9" t="str">
        <f>+HYPERLINK("http://trademark.i-assist.jp/data/china/image_1882th/72123753.pdf","72123753")</f>
        <v>72123753</v>
      </c>
      <c r="F79" s="6" t="s">
        <v>228</v>
      </c>
      <c r="G79" s="6" t="s">
        <v>229</v>
      </c>
      <c r="H79" s="8" t="s">
        <v>230</v>
      </c>
      <c r="I79" s="14">
        <v>45086</v>
      </c>
    </row>
    <row r="80" spans="1:9" x14ac:dyDescent="0.15">
      <c r="A80" s="5">
        <v>79</v>
      </c>
      <c r="B80" s="6" t="s">
        <v>9</v>
      </c>
      <c r="C80" s="7">
        <v>1882</v>
      </c>
      <c r="D80" s="8">
        <v>45388</v>
      </c>
      <c r="E80" s="9" t="str">
        <f>+HYPERLINK("http://trademark.i-assist.jp/data/china/image_1882th/72156893.pdf","72156893")</f>
        <v>72156893</v>
      </c>
      <c r="F80" s="6" t="s">
        <v>231</v>
      </c>
      <c r="G80" s="6" t="s">
        <v>232</v>
      </c>
      <c r="H80" s="8" t="s">
        <v>233</v>
      </c>
      <c r="I80" s="14">
        <v>45089</v>
      </c>
    </row>
    <row r="81" spans="1:9" x14ac:dyDescent="0.15">
      <c r="A81" s="5">
        <v>80</v>
      </c>
      <c r="B81" s="6" t="s">
        <v>9</v>
      </c>
      <c r="C81" s="7">
        <v>1882</v>
      </c>
      <c r="D81" s="8">
        <v>45388</v>
      </c>
      <c r="E81" s="9" t="str">
        <f>+HYPERLINK("http://trademark.i-assist.jp/data/china/image_1882th/72226063.pdf","72226063")</f>
        <v>72226063</v>
      </c>
      <c r="F81" s="6" t="s">
        <v>234</v>
      </c>
      <c r="G81" s="6" t="s">
        <v>235</v>
      </c>
      <c r="H81" s="8" t="s">
        <v>236</v>
      </c>
      <c r="I81" s="14">
        <v>45091</v>
      </c>
    </row>
    <row r="82" spans="1:9" x14ac:dyDescent="0.15">
      <c r="A82" s="5">
        <v>81</v>
      </c>
      <c r="B82" s="6" t="s">
        <v>9</v>
      </c>
      <c r="C82" s="7">
        <v>1882</v>
      </c>
      <c r="D82" s="8">
        <v>45388</v>
      </c>
      <c r="E82" s="9" t="str">
        <f>+HYPERLINK("http://trademark.i-assist.jp/data/china/image_1882th/72226106.pdf","72226106")</f>
        <v>72226106</v>
      </c>
      <c r="F82" s="6" t="s">
        <v>234</v>
      </c>
      <c r="G82" s="6" t="s">
        <v>235</v>
      </c>
      <c r="H82" s="8" t="s">
        <v>237</v>
      </c>
      <c r="I82" s="14">
        <v>45091</v>
      </c>
    </row>
    <row r="83" spans="1:9" x14ac:dyDescent="0.15">
      <c r="A83" s="5">
        <v>82</v>
      </c>
      <c r="B83" s="6" t="s">
        <v>9</v>
      </c>
      <c r="C83" s="7">
        <v>1882</v>
      </c>
      <c r="D83" s="8">
        <v>45388</v>
      </c>
      <c r="E83" s="9" t="str">
        <f>+HYPERLINK("http://trademark.i-assist.jp/data/china/image_1882th/72235639.pdf","72235639")</f>
        <v>72235639</v>
      </c>
      <c r="F83" s="6" t="s">
        <v>238</v>
      </c>
      <c r="G83" s="6" t="s">
        <v>239</v>
      </c>
      <c r="H83" s="8" t="s">
        <v>240</v>
      </c>
      <c r="I83" s="14">
        <v>45091</v>
      </c>
    </row>
    <row r="84" spans="1:9" x14ac:dyDescent="0.15">
      <c r="A84" s="5">
        <v>83</v>
      </c>
      <c r="B84" s="6" t="s">
        <v>9</v>
      </c>
      <c r="C84" s="7">
        <v>1882</v>
      </c>
      <c r="D84" s="8">
        <v>45388</v>
      </c>
      <c r="E84" s="9" t="str">
        <f>+HYPERLINK("http://trademark.i-assist.jp/data/china/image_1882th/72268963.pdf","72268963")</f>
        <v>72268963</v>
      </c>
      <c r="F84" s="6" t="s">
        <v>26</v>
      </c>
      <c r="G84" s="6" t="s">
        <v>241</v>
      </c>
      <c r="H84" s="8" t="s">
        <v>242</v>
      </c>
      <c r="I84" s="14">
        <v>45093</v>
      </c>
    </row>
    <row r="85" spans="1:9" x14ac:dyDescent="0.15">
      <c r="A85" s="5">
        <v>84</v>
      </c>
      <c r="B85" s="6" t="s">
        <v>9</v>
      </c>
      <c r="C85" s="7">
        <v>1882</v>
      </c>
      <c r="D85" s="8">
        <v>45388</v>
      </c>
      <c r="E85" s="9" t="str">
        <f>+HYPERLINK("http://trademark.i-assist.jp/data/china/image_1882th/72290535.pdf","72290535")</f>
        <v>72290535</v>
      </c>
      <c r="F85" s="6" t="s">
        <v>243</v>
      </c>
      <c r="G85" s="6" t="s">
        <v>244</v>
      </c>
      <c r="H85" s="8" t="s">
        <v>245</v>
      </c>
      <c r="I85" s="14">
        <v>45093</v>
      </c>
    </row>
    <row r="86" spans="1:9" x14ac:dyDescent="0.15">
      <c r="A86" s="5">
        <v>85</v>
      </c>
      <c r="B86" s="6" t="s">
        <v>9</v>
      </c>
      <c r="C86" s="7">
        <v>1882</v>
      </c>
      <c r="D86" s="8">
        <v>45388</v>
      </c>
      <c r="E86" s="9" t="str">
        <f>+HYPERLINK("http://trademark.i-assist.jp/data/china/image_1882th/72333934.pdf","72333934")</f>
        <v>72333934</v>
      </c>
      <c r="F86" s="6" t="s">
        <v>246</v>
      </c>
      <c r="G86" s="6" t="s">
        <v>247</v>
      </c>
      <c r="H86" s="8" t="s">
        <v>248</v>
      </c>
      <c r="I86" s="14">
        <v>45097</v>
      </c>
    </row>
    <row r="87" spans="1:9" x14ac:dyDescent="0.15">
      <c r="A87" s="5">
        <v>86</v>
      </c>
      <c r="B87" s="6" t="s">
        <v>9</v>
      </c>
      <c r="C87" s="7">
        <v>1882</v>
      </c>
      <c r="D87" s="8">
        <v>45388</v>
      </c>
      <c r="E87" s="9" t="str">
        <f>+HYPERLINK("http://trademark.i-assist.jp/data/china/image_1882th/72419356.pdf","72419356")</f>
        <v>72419356</v>
      </c>
      <c r="F87" s="6" t="s">
        <v>249</v>
      </c>
      <c r="G87" s="6" t="s">
        <v>250</v>
      </c>
      <c r="H87" s="8" t="s">
        <v>251</v>
      </c>
      <c r="I87" s="14">
        <v>45102</v>
      </c>
    </row>
    <row r="88" spans="1:9" x14ac:dyDescent="0.15">
      <c r="A88" s="5">
        <v>87</v>
      </c>
      <c r="B88" s="6" t="s">
        <v>9</v>
      </c>
      <c r="C88" s="7">
        <v>1882</v>
      </c>
      <c r="D88" s="8">
        <v>45388</v>
      </c>
      <c r="E88" s="9" t="str">
        <f>+HYPERLINK("http://trademark.i-assist.jp/data/china/image_1882th/72507503.pdf","72507503")</f>
        <v>72507503</v>
      </c>
      <c r="F88" s="6" t="s">
        <v>252</v>
      </c>
      <c r="G88" s="6" t="s">
        <v>253</v>
      </c>
      <c r="H88" s="8" t="s">
        <v>254</v>
      </c>
      <c r="I88" s="14">
        <v>45105</v>
      </c>
    </row>
    <row r="89" spans="1:9" x14ac:dyDescent="0.15">
      <c r="A89" s="5">
        <v>88</v>
      </c>
      <c r="B89" s="6" t="s">
        <v>9</v>
      </c>
      <c r="C89" s="7">
        <v>1882</v>
      </c>
      <c r="D89" s="8">
        <v>45388</v>
      </c>
      <c r="E89" s="9" t="str">
        <f>+HYPERLINK("http://trademark.i-assist.jp/data/china/image_1882th/72539182.pdf","72539182")</f>
        <v>72539182</v>
      </c>
      <c r="F89" s="6" t="s">
        <v>255</v>
      </c>
      <c r="G89" s="6" t="s">
        <v>256</v>
      </c>
      <c r="H89" s="8" t="s">
        <v>257</v>
      </c>
      <c r="I89" s="14">
        <v>45106</v>
      </c>
    </row>
    <row r="90" spans="1:9" x14ac:dyDescent="0.15">
      <c r="A90" s="5">
        <v>89</v>
      </c>
      <c r="B90" s="6" t="s">
        <v>9</v>
      </c>
      <c r="C90" s="7">
        <v>1882</v>
      </c>
      <c r="D90" s="8">
        <v>45388</v>
      </c>
      <c r="E90" s="9" t="str">
        <f>+HYPERLINK("http://trademark.i-assist.jp/data/china/image_1882th/72583120.pdf","72583120")</f>
        <v>72583120</v>
      </c>
      <c r="F90" s="6" t="s">
        <v>26</v>
      </c>
      <c r="G90" s="6" t="s">
        <v>258</v>
      </c>
      <c r="H90" s="8" t="s">
        <v>259</v>
      </c>
      <c r="I90" s="14">
        <v>45110</v>
      </c>
    </row>
    <row r="91" spans="1:9" x14ac:dyDescent="0.15">
      <c r="A91" s="5">
        <v>90</v>
      </c>
      <c r="B91" s="6" t="s">
        <v>9</v>
      </c>
      <c r="C91" s="7">
        <v>1882</v>
      </c>
      <c r="D91" s="8">
        <v>45388</v>
      </c>
      <c r="E91" s="9" t="str">
        <f>+HYPERLINK("http://trademark.i-assist.jp/data/china/image_1882th/72760199.pdf","72760199")</f>
        <v>72760199</v>
      </c>
      <c r="F91" s="6" t="s">
        <v>260</v>
      </c>
      <c r="G91" s="6" t="s">
        <v>261</v>
      </c>
      <c r="H91" s="8" t="s">
        <v>262</v>
      </c>
      <c r="I91" s="14">
        <v>45118</v>
      </c>
    </row>
    <row r="92" spans="1:9" x14ac:dyDescent="0.15">
      <c r="A92" s="5">
        <v>91</v>
      </c>
      <c r="B92" s="6" t="s">
        <v>9</v>
      </c>
      <c r="C92" s="7">
        <v>1882</v>
      </c>
      <c r="D92" s="8">
        <v>45388</v>
      </c>
      <c r="E92" s="9" t="str">
        <f>+HYPERLINK("http://trademark.i-assist.jp/data/china/image_1882th/72992369.pdf","72992369")</f>
        <v>72992369</v>
      </c>
      <c r="F92" s="6" t="s">
        <v>26</v>
      </c>
      <c r="G92" s="6" t="s">
        <v>263</v>
      </c>
      <c r="H92" s="8" t="s">
        <v>264</v>
      </c>
      <c r="I92" s="14">
        <v>45128</v>
      </c>
    </row>
    <row r="93" spans="1:9" x14ac:dyDescent="0.15">
      <c r="A93" s="5">
        <v>92</v>
      </c>
      <c r="B93" s="6" t="s">
        <v>9</v>
      </c>
      <c r="C93" s="7">
        <v>1882</v>
      </c>
      <c r="D93" s="8">
        <v>45388</v>
      </c>
      <c r="E93" s="9" t="str">
        <f>+HYPERLINK("http://trademark.i-assist.jp/data/china/image_1882th/73425571.pdf","73425571")</f>
        <v>73425571</v>
      </c>
      <c r="F93" s="6" t="s">
        <v>265</v>
      </c>
      <c r="G93" s="6" t="s">
        <v>266</v>
      </c>
      <c r="H93" s="8" t="s">
        <v>267</v>
      </c>
      <c r="I93" s="14">
        <v>45149</v>
      </c>
    </row>
    <row r="94" spans="1:9" x14ac:dyDescent="0.15">
      <c r="A94" s="5">
        <v>93</v>
      </c>
      <c r="B94" s="6" t="s">
        <v>9</v>
      </c>
      <c r="C94" s="7">
        <v>1882</v>
      </c>
      <c r="D94" s="8">
        <v>45388</v>
      </c>
      <c r="E94" s="9" t="str">
        <f>+HYPERLINK("http://trademark.i-assist.jp/data/china/image_1882th/73425946.pdf","73425946")</f>
        <v>73425946</v>
      </c>
      <c r="F94" s="6" t="s">
        <v>268</v>
      </c>
      <c r="G94" s="6" t="s">
        <v>266</v>
      </c>
      <c r="H94" s="8" t="s">
        <v>269</v>
      </c>
      <c r="I94" s="14">
        <v>45149</v>
      </c>
    </row>
    <row r="95" spans="1:9" x14ac:dyDescent="0.15">
      <c r="A95" s="5">
        <v>94</v>
      </c>
      <c r="B95" s="6" t="s">
        <v>9</v>
      </c>
      <c r="C95" s="7">
        <v>1882</v>
      </c>
      <c r="D95" s="8">
        <v>45388</v>
      </c>
      <c r="E95" s="9" t="str">
        <f>+HYPERLINK("http://trademark.i-assist.jp/data/china/image_1882th/73476058.pdf","73476058")</f>
        <v>73476058</v>
      </c>
      <c r="F95" s="6" t="s">
        <v>270</v>
      </c>
      <c r="G95" s="6" t="s">
        <v>271</v>
      </c>
      <c r="H95" s="8" t="s">
        <v>110</v>
      </c>
      <c r="I95" s="14">
        <v>45153</v>
      </c>
    </row>
    <row r="96" spans="1:9" x14ac:dyDescent="0.15">
      <c r="A96" s="5">
        <v>95</v>
      </c>
      <c r="B96" s="6" t="s">
        <v>9</v>
      </c>
      <c r="C96" s="7">
        <v>1882</v>
      </c>
      <c r="D96" s="8">
        <v>45388</v>
      </c>
      <c r="E96" s="9" t="str">
        <f>+HYPERLINK("http://trademark.i-assist.jp/data/china/image_1882th/73570277.pdf","73570277")</f>
        <v>73570277</v>
      </c>
      <c r="F96" s="6" t="s">
        <v>272</v>
      </c>
      <c r="G96" s="6" t="s">
        <v>273</v>
      </c>
      <c r="H96" s="8" t="s">
        <v>274</v>
      </c>
      <c r="I96" s="14">
        <v>45156</v>
      </c>
    </row>
    <row r="97" spans="1:9" x14ac:dyDescent="0.15">
      <c r="A97" s="5">
        <v>96</v>
      </c>
      <c r="B97" s="6" t="s">
        <v>9</v>
      </c>
      <c r="C97" s="7">
        <v>1882</v>
      </c>
      <c r="D97" s="8">
        <v>45388</v>
      </c>
      <c r="E97" s="9" t="str">
        <f>+HYPERLINK("http://trademark.i-assist.jp/data/china/image_1882th/73649799.pdf","73649799")</f>
        <v>73649799</v>
      </c>
      <c r="F97" s="6" t="s">
        <v>26</v>
      </c>
      <c r="G97" s="6" t="s">
        <v>275</v>
      </c>
      <c r="H97" s="8" t="s">
        <v>276</v>
      </c>
      <c r="I97" s="14">
        <v>45161</v>
      </c>
    </row>
    <row r="98" spans="1:9" x14ac:dyDescent="0.15">
      <c r="A98" s="5">
        <v>97</v>
      </c>
      <c r="B98" s="6" t="s">
        <v>9</v>
      </c>
      <c r="C98" s="7">
        <v>1882</v>
      </c>
      <c r="D98" s="8">
        <v>45388</v>
      </c>
      <c r="E98" s="9" t="str">
        <f>+HYPERLINK("http://trademark.i-assist.jp/data/china/image_1882th/73819252.pdf","73819252")</f>
        <v>73819252</v>
      </c>
      <c r="F98" s="6" t="s">
        <v>277</v>
      </c>
      <c r="G98" s="6" t="s">
        <v>278</v>
      </c>
      <c r="H98" s="8" t="s">
        <v>279</v>
      </c>
      <c r="I98" s="14">
        <v>45169</v>
      </c>
    </row>
    <row r="99" spans="1:9" x14ac:dyDescent="0.15">
      <c r="A99" s="5">
        <v>98</v>
      </c>
      <c r="B99" s="6" t="s">
        <v>9</v>
      </c>
      <c r="C99" s="7">
        <v>1882</v>
      </c>
      <c r="D99" s="8">
        <v>45388</v>
      </c>
      <c r="E99" s="9" t="str">
        <f>+HYPERLINK("http://trademark.i-assist.jp/data/china/image_1882th/73916676.pdf","73916676")</f>
        <v>73916676</v>
      </c>
      <c r="F99" s="6" t="s">
        <v>280</v>
      </c>
      <c r="G99" s="6" t="s">
        <v>281</v>
      </c>
      <c r="H99" s="8" t="s">
        <v>282</v>
      </c>
      <c r="I99" s="14">
        <v>45175</v>
      </c>
    </row>
    <row r="100" spans="1:9" x14ac:dyDescent="0.15">
      <c r="A100" s="5">
        <v>99</v>
      </c>
      <c r="B100" s="6" t="s">
        <v>9</v>
      </c>
      <c r="C100" s="7">
        <v>1882</v>
      </c>
      <c r="D100" s="8">
        <v>45388</v>
      </c>
      <c r="E100" s="9" t="str">
        <f>+HYPERLINK("http://trademark.i-assist.jp/data/china/image_1882th/73937525.pdf","73937525")</f>
        <v>73937525</v>
      </c>
      <c r="F100" s="6" t="s">
        <v>283</v>
      </c>
      <c r="G100" s="6" t="s">
        <v>284</v>
      </c>
      <c r="H100" s="8" t="s">
        <v>285</v>
      </c>
      <c r="I100" s="14">
        <v>45176</v>
      </c>
    </row>
    <row r="101" spans="1:9" x14ac:dyDescent="0.15">
      <c r="A101" s="5">
        <v>100</v>
      </c>
      <c r="B101" s="6" t="s">
        <v>9</v>
      </c>
      <c r="C101" s="7">
        <v>1882</v>
      </c>
      <c r="D101" s="8">
        <v>45388</v>
      </c>
      <c r="E101" s="9" t="str">
        <f>+HYPERLINK("http://trademark.i-assist.jp/data/china/image_1882th/73937936.pdf","73937936")</f>
        <v>73937936</v>
      </c>
      <c r="F101" s="6" t="s">
        <v>286</v>
      </c>
      <c r="G101" s="6" t="s">
        <v>284</v>
      </c>
      <c r="H101" s="8" t="s">
        <v>287</v>
      </c>
      <c r="I101" s="14">
        <v>45176</v>
      </c>
    </row>
    <row r="102" spans="1:9" x14ac:dyDescent="0.15">
      <c r="A102" s="5">
        <v>101</v>
      </c>
      <c r="B102" s="6" t="s">
        <v>9</v>
      </c>
      <c r="C102" s="7">
        <v>1882</v>
      </c>
      <c r="D102" s="8">
        <v>45388</v>
      </c>
      <c r="E102" s="9" t="str">
        <f>+HYPERLINK("http://trademark.i-assist.jp/data/china/image_1882th/73937947.pdf","73937947")</f>
        <v>73937947</v>
      </c>
      <c r="F102" s="6" t="s">
        <v>288</v>
      </c>
      <c r="G102" s="6" t="s">
        <v>284</v>
      </c>
      <c r="H102" s="8" t="s">
        <v>289</v>
      </c>
      <c r="I102" s="14">
        <v>45176</v>
      </c>
    </row>
    <row r="103" spans="1:9" x14ac:dyDescent="0.15">
      <c r="A103" s="5">
        <v>102</v>
      </c>
      <c r="B103" s="6" t="s">
        <v>9</v>
      </c>
      <c r="C103" s="7">
        <v>1882</v>
      </c>
      <c r="D103" s="8">
        <v>45388</v>
      </c>
      <c r="E103" s="9" t="str">
        <f>+HYPERLINK("http://trademark.i-assist.jp/data/china/image_1882th/73940416.pdf","73940416")</f>
        <v>73940416</v>
      </c>
      <c r="F103" s="6" t="s">
        <v>290</v>
      </c>
      <c r="G103" s="6" t="s">
        <v>284</v>
      </c>
      <c r="H103" s="8" t="s">
        <v>291</v>
      </c>
      <c r="I103" s="14">
        <v>45176</v>
      </c>
    </row>
    <row r="104" spans="1:9" x14ac:dyDescent="0.15">
      <c r="A104" s="5">
        <v>103</v>
      </c>
      <c r="B104" s="6" t="s">
        <v>9</v>
      </c>
      <c r="C104" s="7">
        <v>1882</v>
      </c>
      <c r="D104" s="8">
        <v>45388</v>
      </c>
      <c r="E104" s="9" t="str">
        <f>+HYPERLINK("http://trademark.i-assist.jp/data/china/image_1882th/73940417.pdf","73940417")</f>
        <v>73940417</v>
      </c>
      <c r="F104" s="6" t="s">
        <v>292</v>
      </c>
      <c r="G104" s="6" t="s">
        <v>284</v>
      </c>
      <c r="H104" s="8" t="s">
        <v>293</v>
      </c>
      <c r="I104" s="14">
        <v>45176</v>
      </c>
    </row>
    <row r="105" spans="1:9" x14ac:dyDescent="0.15">
      <c r="A105" s="5">
        <v>104</v>
      </c>
      <c r="B105" s="6" t="s">
        <v>9</v>
      </c>
      <c r="C105" s="7">
        <v>1882</v>
      </c>
      <c r="D105" s="8">
        <v>45388</v>
      </c>
      <c r="E105" s="9" t="str">
        <f>+HYPERLINK("http://trademark.i-assist.jp/data/china/image_1882th/73949001.pdf","73949001")</f>
        <v>73949001</v>
      </c>
      <c r="F105" s="6" t="s">
        <v>294</v>
      </c>
      <c r="G105" s="6" t="s">
        <v>284</v>
      </c>
      <c r="H105" s="8" t="s">
        <v>295</v>
      </c>
      <c r="I105" s="14">
        <v>45176</v>
      </c>
    </row>
    <row r="106" spans="1:9" x14ac:dyDescent="0.15">
      <c r="A106" s="5">
        <v>105</v>
      </c>
      <c r="B106" s="6" t="s">
        <v>9</v>
      </c>
      <c r="C106" s="7">
        <v>1882</v>
      </c>
      <c r="D106" s="8">
        <v>45388</v>
      </c>
      <c r="E106" s="9" t="str">
        <f>+HYPERLINK("http://trademark.i-assist.jp/data/china/image_1882th/73981637.pdf","73981637")</f>
        <v>73981637</v>
      </c>
      <c r="F106" s="6" t="s">
        <v>296</v>
      </c>
      <c r="G106" s="6" t="s">
        <v>297</v>
      </c>
      <c r="H106" s="8" t="s">
        <v>298</v>
      </c>
      <c r="I106" s="14">
        <v>45177</v>
      </c>
    </row>
    <row r="107" spans="1:9" x14ac:dyDescent="0.15">
      <c r="A107" s="5">
        <v>106</v>
      </c>
      <c r="B107" s="6" t="s">
        <v>9</v>
      </c>
      <c r="C107" s="7">
        <v>1882</v>
      </c>
      <c r="D107" s="8">
        <v>45388</v>
      </c>
      <c r="E107" s="9" t="str">
        <f>+HYPERLINK("http://trademark.i-assist.jp/data/china/image_1882th/74206987.pdf","74206987")</f>
        <v>74206987</v>
      </c>
      <c r="F107" s="6" t="s">
        <v>299</v>
      </c>
      <c r="G107" s="6" t="s">
        <v>300</v>
      </c>
      <c r="H107" s="8" t="s">
        <v>301</v>
      </c>
      <c r="I107" s="14">
        <v>45189</v>
      </c>
    </row>
    <row r="108" spans="1:9" x14ac:dyDescent="0.15">
      <c r="A108" s="5">
        <v>107</v>
      </c>
      <c r="B108" s="6" t="s">
        <v>9</v>
      </c>
      <c r="C108" s="7">
        <v>1882</v>
      </c>
      <c r="D108" s="8">
        <v>45388</v>
      </c>
      <c r="E108" s="9" t="str">
        <f>+HYPERLINK("http://trademark.i-assist.jp/data/china/image_1882th/74239593.pdf","74239593")</f>
        <v>74239593</v>
      </c>
      <c r="F108" s="6" t="s">
        <v>302</v>
      </c>
      <c r="G108" s="6" t="s">
        <v>303</v>
      </c>
      <c r="H108" s="8" t="s">
        <v>304</v>
      </c>
      <c r="I108" s="14">
        <v>45191</v>
      </c>
    </row>
    <row r="109" spans="1:9" x14ac:dyDescent="0.15">
      <c r="A109" s="5">
        <v>108</v>
      </c>
      <c r="B109" s="6" t="s">
        <v>9</v>
      </c>
      <c r="C109" s="7">
        <v>1882</v>
      </c>
      <c r="D109" s="8">
        <v>45388</v>
      </c>
      <c r="E109" s="9" t="str">
        <f>+HYPERLINK("http://trademark.i-assist.jp/data/china/image_1882th/74241645.pdf","74241645")</f>
        <v>74241645</v>
      </c>
      <c r="F109" s="6" t="s">
        <v>305</v>
      </c>
      <c r="G109" s="6" t="s">
        <v>306</v>
      </c>
      <c r="H109" s="8" t="s">
        <v>307</v>
      </c>
      <c r="I109" s="14">
        <v>45191</v>
      </c>
    </row>
    <row r="110" spans="1:9" x14ac:dyDescent="0.15">
      <c r="A110" s="5">
        <v>109</v>
      </c>
      <c r="B110" s="6" t="s">
        <v>9</v>
      </c>
      <c r="C110" s="7">
        <v>1882</v>
      </c>
      <c r="D110" s="8">
        <v>45388</v>
      </c>
      <c r="E110" s="9" t="str">
        <f>+HYPERLINK("http://trademark.i-assist.jp/data/china/image_1882th/74316766.pdf","74316766")</f>
        <v>74316766</v>
      </c>
      <c r="F110" s="6" t="s">
        <v>308</v>
      </c>
      <c r="G110" s="6" t="s">
        <v>309</v>
      </c>
      <c r="H110" s="8" t="s">
        <v>310</v>
      </c>
      <c r="I110" s="14">
        <v>45195</v>
      </c>
    </row>
    <row r="111" spans="1:9" x14ac:dyDescent="0.15">
      <c r="A111" s="5">
        <v>110</v>
      </c>
      <c r="B111" s="6" t="s">
        <v>9</v>
      </c>
      <c r="C111" s="7">
        <v>1882</v>
      </c>
      <c r="D111" s="8">
        <v>45388</v>
      </c>
      <c r="E111" s="9" t="str">
        <f>+HYPERLINK("http://trademark.i-assist.jp/data/china/image_1882th/74395937.pdf","74395937")</f>
        <v>74395937</v>
      </c>
      <c r="F111" s="6" t="s">
        <v>311</v>
      </c>
      <c r="G111" s="6" t="s">
        <v>312</v>
      </c>
      <c r="H111" s="8" t="s">
        <v>313</v>
      </c>
      <c r="I111" s="14">
        <v>45206</v>
      </c>
    </row>
    <row r="112" spans="1:9" x14ac:dyDescent="0.15">
      <c r="A112" s="5">
        <v>111</v>
      </c>
      <c r="B112" s="6" t="s">
        <v>9</v>
      </c>
      <c r="C112" s="7">
        <v>1882</v>
      </c>
      <c r="D112" s="8">
        <v>45388</v>
      </c>
      <c r="E112" s="9" t="str">
        <f>+HYPERLINK("http://trademark.i-assist.jp/data/china/image_1882th/74401117.pdf","74401117")</f>
        <v>74401117</v>
      </c>
      <c r="F112" s="6" t="s">
        <v>314</v>
      </c>
      <c r="G112" s="6" t="s">
        <v>315</v>
      </c>
      <c r="H112" s="8" t="s">
        <v>316</v>
      </c>
      <c r="I112" s="14">
        <v>45206</v>
      </c>
    </row>
    <row r="113" spans="1:9" x14ac:dyDescent="0.15">
      <c r="A113" s="5">
        <v>112</v>
      </c>
      <c r="B113" s="6" t="s">
        <v>9</v>
      </c>
      <c r="C113" s="7">
        <v>1882</v>
      </c>
      <c r="D113" s="8">
        <v>45388</v>
      </c>
      <c r="E113" s="9" t="str">
        <f>+HYPERLINK("http://trademark.i-assist.jp/data/china/image_1882th/74435361.pdf","74435361")</f>
        <v>74435361</v>
      </c>
      <c r="F113" s="6" t="s">
        <v>317</v>
      </c>
      <c r="G113" s="6" t="s">
        <v>318</v>
      </c>
      <c r="H113" s="8" t="s">
        <v>319</v>
      </c>
      <c r="I113" s="14">
        <v>45207</v>
      </c>
    </row>
    <row r="114" spans="1:9" x14ac:dyDescent="0.15">
      <c r="A114" s="5">
        <v>113</v>
      </c>
      <c r="B114" s="6" t="s">
        <v>9</v>
      </c>
      <c r="C114" s="7">
        <v>1882</v>
      </c>
      <c r="D114" s="8">
        <v>45388</v>
      </c>
      <c r="E114" s="9" t="str">
        <f>+HYPERLINK("http://trademark.i-assist.jp/data/china/image_1882th/74449849.pdf","74449849")</f>
        <v>74449849</v>
      </c>
      <c r="F114" s="6" t="s">
        <v>320</v>
      </c>
      <c r="G114" s="6" t="s">
        <v>321</v>
      </c>
      <c r="H114" s="8" t="s">
        <v>322</v>
      </c>
      <c r="I114" s="14">
        <v>45208</v>
      </c>
    </row>
    <row r="115" spans="1:9" x14ac:dyDescent="0.15">
      <c r="A115" s="5">
        <v>114</v>
      </c>
      <c r="B115" s="6" t="s">
        <v>9</v>
      </c>
      <c r="C115" s="7">
        <v>1882</v>
      </c>
      <c r="D115" s="8">
        <v>45388</v>
      </c>
      <c r="E115" s="9" t="str">
        <f>+HYPERLINK("http://trademark.i-assist.jp/data/china/image_1882th/74498185.pdf","74498185")</f>
        <v>74498185</v>
      </c>
      <c r="F115" s="6" t="s">
        <v>323</v>
      </c>
      <c r="G115" s="6" t="s">
        <v>324</v>
      </c>
      <c r="H115" s="8" t="s">
        <v>325</v>
      </c>
      <c r="I115" s="14">
        <v>45210</v>
      </c>
    </row>
    <row r="116" spans="1:9" x14ac:dyDescent="0.15">
      <c r="A116" s="5">
        <v>115</v>
      </c>
      <c r="B116" s="6" t="s">
        <v>9</v>
      </c>
      <c r="C116" s="7">
        <v>1882</v>
      </c>
      <c r="D116" s="8">
        <v>45388</v>
      </c>
      <c r="E116" s="9" t="str">
        <f>+HYPERLINK("http://trademark.i-assist.jp/data/china/image_1882th/74504545.pdf","74504545")</f>
        <v>74504545</v>
      </c>
      <c r="F116" s="6" t="s">
        <v>326</v>
      </c>
      <c r="G116" s="6" t="s">
        <v>327</v>
      </c>
      <c r="H116" s="8" t="s">
        <v>328</v>
      </c>
      <c r="I116" s="14">
        <v>45210</v>
      </c>
    </row>
    <row r="117" spans="1:9" x14ac:dyDescent="0.15">
      <c r="A117" s="5">
        <v>116</v>
      </c>
      <c r="B117" s="6" t="s">
        <v>9</v>
      </c>
      <c r="C117" s="7">
        <v>1882</v>
      </c>
      <c r="D117" s="8">
        <v>45388</v>
      </c>
      <c r="E117" s="9" t="str">
        <f>+HYPERLINK("http://trademark.i-assist.jp/data/china/image_1882th/74521245.pdf","74521245")</f>
        <v>74521245</v>
      </c>
      <c r="F117" s="6" t="s">
        <v>329</v>
      </c>
      <c r="G117" s="6" t="s">
        <v>330</v>
      </c>
      <c r="H117" s="8" t="s">
        <v>331</v>
      </c>
      <c r="I117" s="14">
        <v>45211</v>
      </c>
    </row>
    <row r="118" spans="1:9" x14ac:dyDescent="0.15">
      <c r="A118" s="5">
        <v>117</v>
      </c>
      <c r="B118" s="6" t="s">
        <v>9</v>
      </c>
      <c r="C118" s="7">
        <v>1882</v>
      </c>
      <c r="D118" s="8">
        <v>45388</v>
      </c>
      <c r="E118" s="9" t="str">
        <f>+HYPERLINK("http://trademark.i-assist.jp/data/china/image_1882th/74566925.pdf","74566925")</f>
        <v>74566925</v>
      </c>
      <c r="F118" s="6" t="s">
        <v>332</v>
      </c>
      <c r="G118" s="6" t="s">
        <v>333</v>
      </c>
      <c r="H118" s="8" t="s">
        <v>334</v>
      </c>
      <c r="I118" s="14">
        <v>45213</v>
      </c>
    </row>
    <row r="119" spans="1:9" x14ac:dyDescent="0.15">
      <c r="A119" s="5">
        <v>118</v>
      </c>
      <c r="B119" s="6" t="s">
        <v>9</v>
      </c>
      <c r="C119" s="7">
        <v>1882</v>
      </c>
      <c r="D119" s="8">
        <v>45388</v>
      </c>
      <c r="E119" s="9" t="str">
        <f>+HYPERLINK("http://trademark.i-assist.jp/data/china/image_1882th/74573879.pdf","74573879")</f>
        <v>74573879</v>
      </c>
      <c r="F119" s="6" t="s">
        <v>335</v>
      </c>
      <c r="G119" s="6" t="s">
        <v>336</v>
      </c>
      <c r="H119" s="8" t="s">
        <v>337</v>
      </c>
      <c r="I119" s="14">
        <v>45215</v>
      </c>
    </row>
    <row r="120" spans="1:9" x14ac:dyDescent="0.15">
      <c r="A120" s="5">
        <v>119</v>
      </c>
      <c r="B120" s="6" t="s">
        <v>9</v>
      </c>
      <c r="C120" s="7">
        <v>1882</v>
      </c>
      <c r="D120" s="8">
        <v>45388</v>
      </c>
      <c r="E120" s="9" t="str">
        <f>+HYPERLINK("http://trademark.i-assist.jp/data/china/image_1882th/74595677.pdf","74595677")</f>
        <v>74595677</v>
      </c>
      <c r="F120" s="6" t="s">
        <v>338</v>
      </c>
      <c r="G120" s="6" t="s">
        <v>339</v>
      </c>
      <c r="H120" s="8" t="s">
        <v>340</v>
      </c>
      <c r="I120" s="14">
        <v>45215</v>
      </c>
    </row>
    <row r="121" spans="1:9" x14ac:dyDescent="0.15">
      <c r="A121" s="5">
        <v>120</v>
      </c>
      <c r="B121" s="6" t="s">
        <v>9</v>
      </c>
      <c r="C121" s="7">
        <v>1882</v>
      </c>
      <c r="D121" s="8">
        <v>45388</v>
      </c>
      <c r="E121" s="9" t="str">
        <f>+HYPERLINK("http://trademark.i-assist.jp/data/china/image_1882th/74622795.pdf","74622795")</f>
        <v>74622795</v>
      </c>
      <c r="F121" s="6" t="s">
        <v>26</v>
      </c>
      <c r="G121" s="6" t="s">
        <v>341</v>
      </c>
      <c r="H121" s="8" t="s">
        <v>342</v>
      </c>
      <c r="I121" s="14">
        <v>45216</v>
      </c>
    </row>
    <row r="122" spans="1:9" x14ac:dyDescent="0.15">
      <c r="A122" s="5">
        <v>121</v>
      </c>
      <c r="B122" s="6" t="s">
        <v>9</v>
      </c>
      <c r="C122" s="7">
        <v>1882</v>
      </c>
      <c r="D122" s="8">
        <v>45388</v>
      </c>
      <c r="E122" s="9" t="str">
        <f>+HYPERLINK("http://trademark.i-assist.jp/data/china/image_1882th/74661088.pdf","74661088")</f>
        <v>74661088</v>
      </c>
      <c r="F122" s="6" t="s">
        <v>343</v>
      </c>
      <c r="G122" s="6" t="s">
        <v>344</v>
      </c>
      <c r="H122" s="8" t="s">
        <v>345</v>
      </c>
      <c r="I122" s="14">
        <v>45218</v>
      </c>
    </row>
    <row r="123" spans="1:9" x14ac:dyDescent="0.15">
      <c r="A123" s="5">
        <v>122</v>
      </c>
      <c r="B123" s="6" t="s">
        <v>9</v>
      </c>
      <c r="C123" s="7">
        <v>1882</v>
      </c>
      <c r="D123" s="8">
        <v>45388</v>
      </c>
      <c r="E123" s="9" t="str">
        <f>+HYPERLINK("http://trademark.i-assist.jp/data/china/image_1882th/74718702.pdf","74718702")</f>
        <v>74718702</v>
      </c>
      <c r="F123" s="6" t="s">
        <v>346</v>
      </c>
      <c r="G123" s="6" t="s">
        <v>347</v>
      </c>
      <c r="H123" s="8" t="s">
        <v>348</v>
      </c>
      <c r="I123" s="14">
        <v>45222</v>
      </c>
    </row>
    <row r="124" spans="1:9" x14ac:dyDescent="0.15">
      <c r="A124" s="5">
        <v>123</v>
      </c>
      <c r="B124" s="6" t="s">
        <v>9</v>
      </c>
      <c r="C124" s="7">
        <v>1882</v>
      </c>
      <c r="D124" s="8">
        <v>45388</v>
      </c>
      <c r="E124" s="9" t="str">
        <f>+HYPERLINK("http://trademark.i-assist.jp/data/china/image_1882th/74739101.pdf","74739101")</f>
        <v>74739101</v>
      </c>
      <c r="F124" s="6" t="s">
        <v>349</v>
      </c>
      <c r="G124" s="6" t="s">
        <v>350</v>
      </c>
      <c r="H124" s="8" t="s">
        <v>351</v>
      </c>
      <c r="I124" s="14">
        <v>45223</v>
      </c>
    </row>
    <row r="125" spans="1:9" x14ac:dyDescent="0.15">
      <c r="A125" s="5">
        <v>124</v>
      </c>
      <c r="B125" s="6" t="s">
        <v>9</v>
      </c>
      <c r="C125" s="7">
        <v>1882</v>
      </c>
      <c r="D125" s="8">
        <v>45388</v>
      </c>
      <c r="E125" s="9" t="str">
        <f>+HYPERLINK("http://trademark.i-assist.jp/data/china/image_1882th/74750103.pdf","74750103")</f>
        <v>74750103</v>
      </c>
      <c r="F125" s="6" t="s">
        <v>352</v>
      </c>
      <c r="G125" s="6" t="s">
        <v>353</v>
      </c>
      <c r="H125" s="8" t="s">
        <v>354</v>
      </c>
      <c r="I125" s="14">
        <v>45223</v>
      </c>
    </row>
    <row r="126" spans="1:9" x14ac:dyDescent="0.15">
      <c r="A126" s="5">
        <v>125</v>
      </c>
      <c r="B126" s="6" t="s">
        <v>9</v>
      </c>
      <c r="C126" s="7">
        <v>1882</v>
      </c>
      <c r="D126" s="8">
        <v>45388</v>
      </c>
      <c r="E126" s="9" t="str">
        <f>+HYPERLINK("http://trademark.i-assist.jp/data/china/image_1882th/74779809.pdf","74779809")</f>
        <v>74779809</v>
      </c>
      <c r="F126" s="6" t="s">
        <v>355</v>
      </c>
      <c r="G126" s="6" t="s">
        <v>356</v>
      </c>
      <c r="H126" s="8" t="s">
        <v>357</v>
      </c>
      <c r="I126" s="14">
        <v>45224</v>
      </c>
    </row>
    <row r="127" spans="1:9" x14ac:dyDescent="0.15">
      <c r="A127" s="5">
        <v>126</v>
      </c>
      <c r="B127" s="6" t="s">
        <v>9</v>
      </c>
      <c r="C127" s="7">
        <v>1882</v>
      </c>
      <c r="D127" s="8">
        <v>45388</v>
      </c>
      <c r="E127" s="9" t="str">
        <f>+HYPERLINK("http://trademark.i-assist.jp/data/china/image_1882th/74787053.pdf","74787053")</f>
        <v>74787053</v>
      </c>
      <c r="F127" s="6" t="s">
        <v>358</v>
      </c>
      <c r="G127" s="6" t="s">
        <v>359</v>
      </c>
      <c r="H127" s="8" t="s">
        <v>360</v>
      </c>
      <c r="I127" s="14">
        <v>45225</v>
      </c>
    </row>
    <row r="128" spans="1:9" x14ac:dyDescent="0.15">
      <c r="A128" s="5">
        <v>127</v>
      </c>
      <c r="B128" s="6" t="s">
        <v>9</v>
      </c>
      <c r="C128" s="7">
        <v>1882</v>
      </c>
      <c r="D128" s="8">
        <v>45388</v>
      </c>
      <c r="E128" s="9" t="str">
        <f>+HYPERLINK("http://trademark.i-assist.jp/data/china/image_1882th/74812862.pdf","74812862")</f>
        <v>74812862</v>
      </c>
      <c r="F128" s="6" t="s">
        <v>361</v>
      </c>
      <c r="G128" s="6" t="s">
        <v>362</v>
      </c>
      <c r="H128" s="8" t="s">
        <v>363</v>
      </c>
      <c r="I128" s="14">
        <v>45226</v>
      </c>
    </row>
    <row r="129" spans="1:9" x14ac:dyDescent="0.15">
      <c r="A129" s="5">
        <v>128</v>
      </c>
      <c r="B129" s="6" t="s">
        <v>9</v>
      </c>
      <c r="C129" s="7">
        <v>1882</v>
      </c>
      <c r="D129" s="8">
        <v>45388</v>
      </c>
      <c r="E129" s="9" t="str">
        <f>+HYPERLINK("http://trademark.i-assist.jp/data/china/image_1882th/74817468.pdf","74817468")</f>
        <v>74817468</v>
      </c>
      <c r="F129" s="6" t="s">
        <v>26</v>
      </c>
      <c r="G129" s="6" t="s">
        <v>364</v>
      </c>
      <c r="H129" s="8" t="s">
        <v>365</v>
      </c>
      <c r="I129" s="14">
        <v>45226</v>
      </c>
    </row>
    <row r="130" spans="1:9" x14ac:dyDescent="0.15">
      <c r="A130" s="5">
        <v>129</v>
      </c>
      <c r="B130" s="6" t="s">
        <v>9</v>
      </c>
      <c r="C130" s="7">
        <v>1882</v>
      </c>
      <c r="D130" s="8">
        <v>45388</v>
      </c>
      <c r="E130" s="9" t="str">
        <f>+HYPERLINK("http://trademark.i-assist.jp/data/china/image_1882th/74824274.pdf","74824274")</f>
        <v>74824274</v>
      </c>
      <c r="F130" s="6" t="s">
        <v>366</v>
      </c>
      <c r="G130" s="6" t="s">
        <v>362</v>
      </c>
      <c r="H130" s="8" t="s">
        <v>367</v>
      </c>
      <c r="I130" s="14">
        <v>45226</v>
      </c>
    </row>
    <row r="131" spans="1:9" x14ac:dyDescent="0.15">
      <c r="A131" s="5">
        <v>130</v>
      </c>
      <c r="B131" s="6" t="s">
        <v>9</v>
      </c>
      <c r="C131" s="7">
        <v>1882</v>
      </c>
      <c r="D131" s="8">
        <v>45388</v>
      </c>
      <c r="E131" s="9" t="str">
        <f>+HYPERLINK("http://trademark.i-assist.jp/data/china/image_1882th/74833296.pdf","74833296")</f>
        <v>74833296</v>
      </c>
      <c r="F131" s="6" t="s">
        <v>368</v>
      </c>
      <c r="G131" s="6" t="s">
        <v>362</v>
      </c>
      <c r="H131" s="8" t="s">
        <v>369</v>
      </c>
      <c r="I131" s="14">
        <v>45226</v>
      </c>
    </row>
    <row r="132" spans="1:9" x14ac:dyDescent="0.15">
      <c r="A132" s="5">
        <v>131</v>
      </c>
      <c r="B132" s="6" t="s">
        <v>9</v>
      </c>
      <c r="C132" s="7">
        <v>1882</v>
      </c>
      <c r="D132" s="8">
        <v>45388</v>
      </c>
      <c r="E132" s="9" t="str">
        <f>+HYPERLINK("http://trademark.i-assist.jp/data/china/image_1882th/74833323.pdf","74833323")</f>
        <v>74833323</v>
      </c>
      <c r="F132" s="6" t="s">
        <v>370</v>
      </c>
      <c r="G132" s="6" t="s">
        <v>362</v>
      </c>
      <c r="H132" s="8" t="s">
        <v>371</v>
      </c>
      <c r="I132" s="14">
        <v>45226</v>
      </c>
    </row>
    <row r="133" spans="1:9" x14ac:dyDescent="0.15">
      <c r="A133" s="5">
        <v>132</v>
      </c>
      <c r="B133" s="6" t="s">
        <v>9</v>
      </c>
      <c r="C133" s="7">
        <v>1882</v>
      </c>
      <c r="D133" s="8">
        <v>45388</v>
      </c>
      <c r="E133" s="9" t="str">
        <f>+HYPERLINK("http://trademark.i-assist.jp/data/china/image_1882th/74834425.pdf","74834425")</f>
        <v>74834425</v>
      </c>
      <c r="F133" s="6" t="s">
        <v>372</v>
      </c>
      <c r="G133" s="6" t="s">
        <v>362</v>
      </c>
      <c r="H133" s="8" t="s">
        <v>373</v>
      </c>
      <c r="I133" s="14">
        <v>45226</v>
      </c>
    </row>
    <row r="134" spans="1:9" x14ac:dyDescent="0.15">
      <c r="A134" s="5">
        <v>133</v>
      </c>
      <c r="B134" s="6" t="s">
        <v>9</v>
      </c>
      <c r="C134" s="7">
        <v>1882</v>
      </c>
      <c r="D134" s="8">
        <v>45388</v>
      </c>
      <c r="E134" s="9" t="str">
        <f>+HYPERLINK("http://trademark.i-assist.jp/data/china/image_1882th/74873241.pdf","74873241")</f>
        <v>74873241</v>
      </c>
      <c r="F134" s="6" t="s">
        <v>374</v>
      </c>
      <c r="G134" s="6" t="s">
        <v>375</v>
      </c>
      <c r="H134" s="8" t="s">
        <v>376</v>
      </c>
      <c r="I134" s="14">
        <v>45229</v>
      </c>
    </row>
    <row r="135" spans="1:9" x14ac:dyDescent="0.15">
      <c r="A135" s="5">
        <v>134</v>
      </c>
      <c r="B135" s="6" t="s">
        <v>9</v>
      </c>
      <c r="C135" s="7">
        <v>1882</v>
      </c>
      <c r="D135" s="8">
        <v>45388</v>
      </c>
      <c r="E135" s="9" t="str">
        <f>+HYPERLINK("http://trademark.i-assist.jp/data/china/image_1882th/74877618.pdf","74877618")</f>
        <v>74877618</v>
      </c>
      <c r="F135" s="6" t="s">
        <v>377</v>
      </c>
      <c r="G135" s="6" t="s">
        <v>378</v>
      </c>
      <c r="H135" s="8" t="s">
        <v>379</v>
      </c>
      <c r="I135" s="14">
        <v>45230</v>
      </c>
    </row>
    <row r="136" spans="1:9" x14ac:dyDescent="0.15">
      <c r="A136" s="5">
        <v>135</v>
      </c>
      <c r="B136" s="6" t="s">
        <v>9</v>
      </c>
      <c r="C136" s="7">
        <v>1882</v>
      </c>
      <c r="D136" s="8">
        <v>45388</v>
      </c>
      <c r="E136" s="9" t="str">
        <f>+HYPERLINK("http://trademark.i-assist.jp/data/china/image_1882th/74890324.pdf","74890324")</f>
        <v>74890324</v>
      </c>
      <c r="F136" s="6" t="s">
        <v>380</v>
      </c>
      <c r="G136" s="6" t="s">
        <v>381</v>
      </c>
      <c r="H136" s="8" t="s">
        <v>382</v>
      </c>
      <c r="I136" s="14">
        <v>45230</v>
      </c>
    </row>
    <row r="137" spans="1:9" x14ac:dyDescent="0.15">
      <c r="A137" s="5">
        <v>136</v>
      </c>
      <c r="B137" s="6" t="s">
        <v>9</v>
      </c>
      <c r="C137" s="7">
        <v>1882</v>
      </c>
      <c r="D137" s="8">
        <v>45388</v>
      </c>
      <c r="E137" s="9" t="str">
        <f>+HYPERLINK("http://trademark.i-assist.jp/data/china/image_1882th/74910949.pdf","74910949")</f>
        <v>74910949</v>
      </c>
      <c r="F137" s="6" t="s">
        <v>383</v>
      </c>
      <c r="G137" s="6" t="s">
        <v>384</v>
      </c>
      <c r="H137" s="8" t="s">
        <v>385</v>
      </c>
      <c r="I137" s="14">
        <v>45231</v>
      </c>
    </row>
    <row r="138" spans="1:9" x14ac:dyDescent="0.15">
      <c r="A138" s="5">
        <v>137</v>
      </c>
      <c r="B138" s="6" t="s">
        <v>9</v>
      </c>
      <c r="C138" s="7">
        <v>1882</v>
      </c>
      <c r="D138" s="8">
        <v>45388</v>
      </c>
      <c r="E138" s="9" t="str">
        <f>+HYPERLINK("http://trademark.i-assist.jp/data/china/image_1882th/74916784.pdf","74916784")</f>
        <v>74916784</v>
      </c>
      <c r="F138" s="6" t="s">
        <v>386</v>
      </c>
      <c r="G138" s="6" t="s">
        <v>387</v>
      </c>
      <c r="H138" s="8" t="s">
        <v>388</v>
      </c>
      <c r="I138" s="14">
        <v>45231</v>
      </c>
    </row>
    <row r="139" spans="1:9" x14ac:dyDescent="0.15">
      <c r="A139" s="5">
        <v>138</v>
      </c>
      <c r="B139" s="6" t="s">
        <v>9</v>
      </c>
      <c r="C139" s="7">
        <v>1882</v>
      </c>
      <c r="D139" s="8">
        <v>45388</v>
      </c>
      <c r="E139" s="9" t="str">
        <f>+HYPERLINK("http://trademark.i-assist.jp/data/china/image_1882th/74934243.pdf","74934243")</f>
        <v>74934243</v>
      </c>
      <c r="F139" s="6" t="s">
        <v>389</v>
      </c>
      <c r="G139" s="6" t="s">
        <v>390</v>
      </c>
      <c r="H139" s="8" t="s">
        <v>391</v>
      </c>
      <c r="I139" s="14">
        <v>45232</v>
      </c>
    </row>
    <row r="140" spans="1:9" x14ac:dyDescent="0.15">
      <c r="A140" s="5">
        <v>139</v>
      </c>
      <c r="B140" s="6" t="s">
        <v>9</v>
      </c>
      <c r="C140" s="7">
        <v>1882</v>
      </c>
      <c r="D140" s="8">
        <v>45388</v>
      </c>
      <c r="E140" s="9" t="str">
        <f>+HYPERLINK("http://trademark.i-assist.jp/data/china/image_1882th/74960828.pdf","74960828")</f>
        <v>74960828</v>
      </c>
      <c r="F140" s="6" t="s">
        <v>392</v>
      </c>
      <c r="G140" s="6" t="s">
        <v>393</v>
      </c>
      <c r="H140" s="8" t="s">
        <v>394</v>
      </c>
      <c r="I140" s="14">
        <v>45233</v>
      </c>
    </row>
    <row r="141" spans="1:9" x14ac:dyDescent="0.15">
      <c r="A141" s="5">
        <v>140</v>
      </c>
      <c r="B141" s="6" t="s">
        <v>9</v>
      </c>
      <c r="C141" s="7">
        <v>1882</v>
      </c>
      <c r="D141" s="8">
        <v>45388</v>
      </c>
      <c r="E141" s="9" t="str">
        <f>+HYPERLINK("http://trademark.i-assist.jp/data/china/image_1882th/74966904.pdf","74966904")</f>
        <v>74966904</v>
      </c>
      <c r="F141" s="6" t="s">
        <v>395</v>
      </c>
      <c r="G141" s="6" t="s">
        <v>396</v>
      </c>
      <c r="H141" s="8" t="s">
        <v>397</v>
      </c>
      <c r="I141" s="14">
        <v>45233</v>
      </c>
    </row>
    <row r="142" spans="1:9" x14ac:dyDescent="0.15">
      <c r="A142" s="5">
        <v>141</v>
      </c>
      <c r="B142" s="6" t="s">
        <v>9</v>
      </c>
      <c r="C142" s="7">
        <v>1882</v>
      </c>
      <c r="D142" s="8">
        <v>45388</v>
      </c>
      <c r="E142" s="9" t="str">
        <f>+HYPERLINK("http://trademark.i-assist.jp/data/china/image_1882th/74969073.pdf","74969073")</f>
        <v>74969073</v>
      </c>
      <c r="F142" s="6" t="s">
        <v>398</v>
      </c>
      <c r="G142" s="6" t="s">
        <v>399</v>
      </c>
      <c r="H142" s="8" t="s">
        <v>400</v>
      </c>
      <c r="I142" s="14">
        <v>45233</v>
      </c>
    </row>
    <row r="143" spans="1:9" x14ac:dyDescent="0.15">
      <c r="A143" s="5">
        <v>142</v>
      </c>
      <c r="B143" s="6" t="s">
        <v>9</v>
      </c>
      <c r="C143" s="7">
        <v>1882</v>
      </c>
      <c r="D143" s="8">
        <v>45388</v>
      </c>
      <c r="E143" s="9" t="str">
        <f>+HYPERLINK("http://trademark.i-assist.jp/data/china/image_1882th/75015511.pdf","75015511")</f>
        <v>75015511</v>
      </c>
      <c r="F143" s="6" t="s">
        <v>401</v>
      </c>
      <c r="G143" s="6" t="s">
        <v>402</v>
      </c>
      <c r="H143" s="8" t="s">
        <v>403</v>
      </c>
      <c r="I143" s="14">
        <v>45237</v>
      </c>
    </row>
    <row r="144" spans="1:9" x14ac:dyDescent="0.15">
      <c r="A144" s="5">
        <v>143</v>
      </c>
      <c r="B144" s="6" t="s">
        <v>9</v>
      </c>
      <c r="C144" s="7">
        <v>1882</v>
      </c>
      <c r="D144" s="8">
        <v>45388</v>
      </c>
      <c r="E144" s="9" t="str">
        <f>+HYPERLINK("http://trademark.i-assist.jp/data/china/image_1882th/75025987.pdf","75025987")</f>
        <v>75025987</v>
      </c>
      <c r="F144" s="6" t="s">
        <v>404</v>
      </c>
      <c r="G144" s="6" t="s">
        <v>405</v>
      </c>
      <c r="H144" s="8" t="s">
        <v>406</v>
      </c>
      <c r="I144" s="14">
        <v>45237</v>
      </c>
    </row>
    <row r="145" spans="1:9" x14ac:dyDescent="0.15">
      <c r="A145" s="5">
        <v>144</v>
      </c>
      <c r="B145" s="6" t="s">
        <v>9</v>
      </c>
      <c r="C145" s="7">
        <v>1882</v>
      </c>
      <c r="D145" s="8">
        <v>45388</v>
      </c>
      <c r="E145" s="9" t="str">
        <f>+HYPERLINK("http://trademark.i-assist.jp/data/china/image_1882th/75040456.pdf","75040456")</f>
        <v>75040456</v>
      </c>
      <c r="F145" s="6" t="s">
        <v>407</v>
      </c>
      <c r="G145" s="6" t="s">
        <v>408</v>
      </c>
      <c r="H145" s="8" t="s">
        <v>409</v>
      </c>
      <c r="I145" s="14">
        <v>45238</v>
      </c>
    </row>
    <row r="146" spans="1:9" x14ac:dyDescent="0.15">
      <c r="A146" s="5">
        <v>145</v>
      </c>
      <c r="B146" s="6" t="s">
        <v>9</v>
      </c>
      <c r="C146" s="7">
        <v>1882</v>
      </c>
      <c r="D146" s="8">
        <v>45388</v>
      </c>
      <c r="E146" s="9" t="str">
        <f>+HYPERLINK("http://trademark.i-assist.jp/data/china/image_1882th/75041933.pdf","75041933")</f>
        <v>75041933</v>
      </c>
      <c r="F146" s="6" t="s">
        <v>410</v>
      </c>
      <c r="G146" s="6" t="s">
        <v>408</v>
      </c>
      <c r="H146" s="8" t="s">
        <v>411</v>
      </c>
      <c r="I146" s="14">
        <v>45238</v>
      </c>
    </row>
    <row r="147" spans="1:9" x14ac:dyDescent="0.15">
      <c r="A147" s="5">
        <v>146</v>
      </c>
      <c r="B147" s="6" t="s">
        <v>9</v>
      </c>
      <c r="C147" s="7">
        <v>1882</v>
      </c>
      <c r="D147" s="8">
        <v>45388</v>
      </c>
      <c r="E147" s="9" t="str">
        <f>+HYPERLINK("http://trademark.i-assist.jp/data/china/image_1882th/75063007.pdf","75063007")</f>
        <v>75063007</v>
      </c>
      <c r="F147" s="6" t="s">
        <v>412</v>
      </c>
      <c r="G147" s="6" t="s">
        <v>413</v>
      </c>
      <c r="H147" s="8" t="s">
        <v>414</v>
      </c>
      <c r="I147" s="14">
        <v>45238</v>
      </c>
    </row>
    <row r="148" spans="1:9" x14ac:dyDescent="0.15">
      <c r="A148" s="5">
        <v>147</v>
      </c>
      <c r="B148" s="6" t="s">
        <v>9</v>
      </c>
      <c r="C148" s="7">
        <v>1882</v>
      </c>
      <c r="D148" s="8">
        <v>45388</v>
      </c>
      <c r="E148" s="9" t="str">
        <f>+HYPERLINK("http://trademark.i-assist.jp/data/china/image_1882th/75067039.pdf","75067039")</f>
        <v>75067039</v>
      </c>
      <c r="F148" s="6" t="s">
        <v>415</v>
      </c>
      <c r="G148" s="6" t="s">
        <v>416</v>
      </c>
      <c r="H148" s="8" t="s">
        <v>417</v>
      </c>
      <c r="I148" s="14">
        <v>45239</v>
      </c>
    </row>
    <row r="149" spans="1:9" x14ac:dyDescent="0.15">
      <c r="A149" s="5">
        <v>148</v>
      </c>
      <c r="B149" s="6" t="s">
        <v>9</v>
      </c>
      <c r="C149" s="7">
        <v>1882</v>
      </c>
      <c r="D149" s="8">
        <v>45388</v>
      </c>
      <c r="E149" s="9" t="str">
        <f>+HYPERLINK("http://trademark.i-assist.jp/data/china/image_1882th/75067541.pdf","75067541")</f>
        <v>75067541</v>
      </c>
      <c r="F149" s="6" t="s">
        <v>418</v>
      </c>
      <c r="G149" s="6" t="s">
        <v>416</v>
      </c>
      <c r="H149" s="8" t="s">
        <v>419</v>
      </c>
      <c r="I149" s="14">
        <v>45239</v>
      </c>
    </row>
    <row r="150" spans="1:9" x14ac:dyDescent="0.15">
      <c r="A150" s="5">
        <v>149</v>
      </c>
      <c r="B150" s="6" t="s">
        <v>9</v>
      </c>
      <c r="C150" s="7">
        <v>1882</v>
      </c>
      <c r="D150" s="8">
        <v>45388</v>
      </c>
      <c r="E150" s="9" t="str">
        <f>+HYPERLINK("http://trademark.i-assist.jp/data/china/image_1882th/75068194.pdf","75068194")</f>
        <v>75068194</v>
      </c>
      <c r="F150" s="6" t="s">
        <v>420</v>
      </c>
      <c r="G150" s="6" t="s">
        <v>421</v>
      </c>
      <c r="H150" s="8" t="s">
        <v>422</v>
      </c>
      <c r="I150" s="14">
        <v>45239</v>
      </c>
    </row>
    <row r="151" spans="1:9" x14ac:dyDescent="0.15">
      <c r="A151" s="5">
        <v>150</v>
      </c>
      <c r="B151" s="6" t="s">
        <v>9</v>
      </c>
      <c r="C151" s="7">
        <v>1882</v>
      </c>
      <c r="D151" s="8">
        <v>45388</v>
      </c>
      <c r="E151" s="9" t="str">
        <f>+HYPERLINK("http://trademark.i-assist.jp/data/china/image_1882th/75074711.pdf","75074711")</f>
        <v>75074711</v>
      </c>
      <c r="F151" s="6" t="s">
        <v>423</v>
      </c>
      <c r="G151" s="6" t="s">
        <v>421</v>
      </c>
      <c r="H151" s="8" t="s">
        <v>424</v>
      </c>
      <c r="I151" s="14">
        <v>45239</v>
      </c>
    </row>
    <row r="152" spans="1:9" x14ac:dyDescent="0.15">
      <c r="A152" s="5">
        <v>151</v>
      </c>
      <c r="B152" s="6" t="s">
        <v>9</v>
      </c>
      <c r="C152" s="7">
        <v>1882</v>
      </c>
      <c r="D152" s="8">
        <v>45388</v>
      </c>
      <c r="E152" s="9" t="str">
        <f>+HYPERLINK("http://trademark.i-assist.jp/data/china/image_1882th/75092291.pdf","75092291")</f>
        <v>75092291</v>
      </c>
      <c r="F152" s="6" t="s">
        <v>425</v>
      </c>
      <c r="G152" s="6" t="s">
        <v>426</v>
      </c>
      <c r="H152" s="8" t="s">
        <v>427</v>
      </c>
      <c r="I152" s="14">
        <v>45240</v>
      </c>
    </row>
    <row r="153" spans="1:9" x14ac:dyDescent="0.15">
      <c r="A153" s="5">
        <v>152</v>
      </c>
      <c r="B153" s="6" t="s">
        <v>9</v>
      </c>
      <c r="C153" s="7">
        <v>1882</v>
      </c>
      <c r="D153" s="8">
        <v>45388</v>
      </c>
      <c r="E153" s="9" t="str">
        <f>+HYPERLINK("http://trademark.i-assist.jp/data/china/image_1882th/75097036.pdf","75097036")</f>
        <v>75097036</v>
      </c>
      <c r="F153" s="6" t="s">
        <v>428</v>
      </c>
      <c r="G153" s="6" t="s">
        <v>429</v>
      </c>
      <c r="H153" s="8" t="s">
        <v>430</v>
      </c>
      <c r="I153" s="14">
        <v>45240</v>
      </c>
    </row>
    <row r="154" spans="1:9" x14ac:dyDescent="0.15">
      <c r="A154" s="5">
        <v>153</v>
      </c>
      <c r="B154" s="6" t="s">
        <v>9</v>
      </c>
      <c r="C154" s="7">
        <v>1882</v>
      </c>
      <c r="D154" s="8">
        <v>45388</v>
      </c>
      <c r="E154" s="9" t="str">
        <f>+HYPERLINK("http://trademark.i-assist.jp/data/china/image_1882th/75111093.pdf","75111093")</f>
        <v>75111093</v>
      </c>
      <c r="F154" s="6" t="s">
        <v>431</v>
      </c>
      <c r="G154" s="6" t="s">
        <v>426</v>
      </c>
      <c r="H154" s="8" t="s">
        <v>432</v>
      </c>
      <c r="I154" s="14">
        <v>45240</v>
      </c>
    </row>
    <row r="155" spans="1:9" x14ac:dyDescent="0.15">
      <c r="A155" s="5">
        <v>154</v>
      </c>
      <c r="B155" s="6" t="s">
        <v>9</v>
      </c>
      <c r="C155" s="7">
        <v>1882</v>
      </c>
      <c r="D155" s="8">
        <v>45388</v>
      </c>
      <c r="E155" s="9" t="str">
        <f>+HYPERLINK("http://trademark.i-assist.jp/data/china/image_1882th/75113997.pdf","75113997")</f>
        <v>75113997</v>
      </c>
      <c r="F155" s="6" t="s">
        <v>433</v>
      </c>
      <c r="G155" s="6" t="s">
        <v>434</v>
      </c>
      <c r="H155" s="8" t="s">
        <v>435</v>
      </c>
      <c r="I155" s="14">
        <v>45240</v>
      </c>
    </row>
    <row r="156" spans="1:9" x14ac:dyDescent="0.15">
      <c r="A156" s="5">
        <v>155</v>
      </c>
      <c r="B156" s="6" t="s">
        <v>9</v>
      </c>
      <c r="C156" s="7">
        <v>1882</v>
      </c>
      <c r="D156" s="8">
        <v>45388</v>
      </c>
      <c r="E156" s="9" t="str">
        <f>+HYPERLINK("http://trademark.i-assist.jp/data/china/image_1882th/75131909.pdf","75131909")</f>
        <v>75131909</v>
      </c>
      <c r="F156" s="6" t="s">
        <v>436</v>
      </c>
      <c r="G156" s="6" t="s">
        <v>437</v>
      </c>
      <c r="H156" s="8" t="s">
        <v>438</v>
      </c>
      <c r="I156" s="14">
        <v>45243</v>
      </c>
    </row>
    <row r="157" spans="1:9" x14ac:dyDescent="0.15">
      <c r="A157" s="5">
        <v>156</v>
      </c>
      <c r="B157" s="6" t="s">
        <v>9</v>
      </c>
      <c r="C157" s="7">
        <v>1882</v>
      </c>
      <c r="D157" s="8">
        <v>45388</v>
      </c>
      <c r="E157" s="9" t="str">
        <f>+HYPERLINK("http://trademark.i-assist.jp/data/china/image_1882th/75136170.pdf","75136170")</f>
        <v>75136170</v>
      </c>
      <c r="F157" s="6" t="s">
        <v>439</v>
      </c>
      <c r="G157" s="6" t="s">
        <v>440</v>
      </c>
      <c r="H157" s="8" t="s">
        <v>441</v>
      </c>
      <c r="I157" s="14">
        <v>45243</v>
      </c>
    </row>
    <row r="158" spans="1:9" x14ac:dyDescent="0.15">
      <c r="A158" s="5">
        <v>157</v>
      </c>
      <c r="B158" s="6" t="s">
        <v>9</v>
      </c>
      <c r="C158" s="7">
        <v>1882</v>
      </c>
      <c r="D158" s="8">
        <v>45388</v>
      </c>
      <c r="E158" s="9" t="str">
        <f>+HYPERLINK("http://trademark.i-assist.jp/data/china/image_1882th/75142673.pdf","75142673")</f>
        <v>75142673</v>
      </c>
      <c r="F158" s="6" t="s">
        <v>442</v>
      </c>
      <c r="G158" s="6" t="s">
        <v>443</v>
      </c>
      <c r="H158" s="8" t="s">
        <v>444</v>
      </c>
      <c r="I158" s="14">
        <v>45243</v>
      </c>
    </row>
    <row r="159" spans="1:9" x14ac:dyDescent="0.15">
      <c r="A159" s="5">
        <v>158</v>
      </c>
      <c r="B159" s="6" t="s">
        <v>9</v>
      </c>
      <c r="C159" s="7">
        <v>1882</v>
      </c>
      <c r="D159" s="8">
        <v>45388</v>
      </c>
      <c r="E159" s="9" t="str">
        <f>+HYPERLINK("http://trademark.i-assist.jp/data/china/image_1882th/75148472.pdf","75148472")</f>
        <v>75148472</v>
      </c>
      <c r="F159" s="6" t="s">
        <v>445</v>
      </c>
      <c r="G159" s="6" t="s">
        <v>446</v>
      </c>
      <c r="H159" s="8" t="s">
        <v>447</v>
      </c>
      <c r="I159" s="14">
        <v>45243</v>
      </c>
    </row>
    <row r="160" spans="1:9" x14ac:dyDescent="0.15">
      <c r="A160" s="5">
        <v>159</v>
      </c>
      <c r="B160" s="6" t="s">
        <v>9</v>
      </c>
      <c r="C160" s="7">
        <v>1882</v>
      </c>
      <c r="D160" s="8">
        <v>45388</v>
      </c>
      <c r="E160" s="9" t="str">
        <f>+HYPERLINK("http://trademark.i-assist.jp/data/china/image_1882th/75157862.pdf","75157862")</f>
        <v>75157862</v>
      </c>
      <c r="F160" s="6" t="s">
        <v>448</v>
      </c>
      <c r="G160" s="6" t="s">
        <v>449</v>
      </c>
      <c r="H160" s="8" t="s">
        <v>450</v>
      </c>
      <c r="I160" s="14">
        <v>45244</v>
      </c>
    </row>
    <row r="161" spans="1:9" x14ac:dyDescent="0.15">
      <c r="A161" s="5">
        <v>160</v>
      </c>
      <c r="B161" s="6" t="s">
        <v>9</v>
      </c>
      <c r="C161" s="7">
        <v>1882</v>
      </c>
      <c r="D161" s="8">
        <v>45388</v>
      </c>
      <c r="E161" s="9" t="str">
        <f>+HYPERLINK("http://trademark.i-assist.jp/data/china/image_1882th/75166793.pdf","75166793")</f>
        <v>75166793</v>
      </c>
      <c r="F161" s="6" t="s">
        <v>26</v>
      </c>
      <c r="G161" s="6" t="s">
        <v>451</v>
      </c>
      <c r="H161" s="8" t="s">
        <v>452</v>
      </c>
      <c r="I161" s="14">
        <v>45244</v>
      </c>
    </row>
    <row r="162" spans="1:9" x14ac:dyDescent="0.15">
      <c r="A162" s="5">
        <v>161</v>
      </c>
      <c r="B162" s="6" t="s">
        <v>9</v>
      </c>
      <c r="C162" s="7">
        <v>1882</v>
      </c>
      <c r="D162" s="8">
        <v>45388</v>
      </c>
      <c r="E162" s="9" t="str">
        <f>+HYPERLINK("http://trademark.i-assist.jp/data/china/image_1882th/75169201.pdf","75169201")</f>
        <v>75169201</v>
      </c>
      <c r="F162" s="6" t="s">
        <v>453</v>
      </c>
      <c r="G162" s="6" t="s">
        <v>454</v>
      </c>
      <c r="H162" s="8" t="s">
        <v>455</v>
      </c>
      <c r="I162" s="14">
        <v>45244</v>
      </c>
    </row>
    <row r="163" spans="1:9" x14ac:dyDescent="0.15">
      <c r="A163" s="5">
        <v>162</v>
      </c>
      <c r="B163" s="6" t="s">
        <v>9</v>
      </c>
      <c r="C163" s="7">
        <v>1882</v>
      </c>
      <c r="D163" s="8">
        <v>45388</v>
      </c>
      <c r="E163" s="9" t="str">
        <f>+HYPERLINK("http://trademark.i-assist.jp/data/china/image_1882th/75180286.pdf","75180286")</f>
        <v>75180286</v>
      </c>
      <c r="F163" s="6" t="s">
        <v>456</v>
      </c>
      <c r="G163" s="6" t="s">
        <v>457</v>
      </c>
      <c r="H163" s="8" t="s">
        <v>458</v>
      </c>
      <c r="I163" s="14">
        <v>45245</v>
      </c>
    </row>
    <row r="164" spans="1:9" x14ac:dyDescent="0.15">
      <c r="A164" s="5">
        <v>163</v>
      </c>
      <c r="B164" s="6" t="s">
        <v>9</v>
      </c>
      <c r="C164" s="7">
        <v>1882</v>
      </c>
      <c r="D164" s="8">
        <v>45388</v>
      </c>
      <c r="E164" s="9" t="str">
        <f>+HYPERLINK("http://trademark.i-assist.jp/data/china/image_1882th/75180736.pdf","75180736")</f>
        <v>75180736</v>
      </c>
      <c r="F164" s="6" t="s">
        <v>459</v>
      </c>
      <c r="G164" s="6" t="s">
        <v>460</v>
      </c>
      <c r="H164" s="8" t="s">
        <v>461</v>
      </c>
      <c r="I164" s="14">
        <v>45245</v>
      </c>
    </row>
    <row r="165" spans="1:9" x14ac:dyDescent="0.15">
      <c r="A165" s="5">
        <v>164</v>
      </c>
      <c r="B165" s="6" t="s">
        <v>9</v>
      </c>
      <c r="C165" s="7">
        <v>1882</v>
      </c>
      <c r="D165" s="8">
        <v>45388</v>
      </c>
      <c r="E165" s="9" t="str">
        <f>+HYPERLINK("http://trademark.i-assist.jp/data/china/image_1882th/75194998.pdf","75194998")</f>
        <v>75194998</v>
      </c>
      <c r="F165" s="6" t="s">
        <v>462</v>
      </c>
      <c r="G165" s="6" t="s">
        <v>463</v>
      </c>
      <c r="H165" s="8" t="s">
        <v>464</v>
      </c>
      <c r="I165" s="14">
        <v>45245</v>
      </c>
    </row>
    <row r="166" spans="1:9" x14ac:dyDescent="0.15">
      <c r="A166" s="5">
        <v>165</v>
      </c>
      <c r="B166" s="6" t="s">
        <v>9</v>
      </c>
      <c r="C166" s="7">
        <v>1882</v>
      </c>
      <c r="D166" s="8">
        <v>45388</v>
      </c>
      <c r="E166" s="9" t="str">
        <f>+HYPERLINK("http://trademark.i-assist.jp/data/china/image_1882th/75203058.pdf","75203058")</f>
        <v>75203058</v>
      </c>
      <c r="F166" s="6" t="s">
        <v>465</v>
      </c>
      <c r="G166" s="6" t="s">
        <v>466</v>
      </c>
      <c r="H166" s="8" t="s">
        <v>467</v>
      </c>
      <c r="I166" s="14">
        <v>45245</v>
      </c>
    </row>
    <row r="167" spans="1:9" x14ac:dyDescent="0.15">
      <c r="A167" s="5">
        <v>166</v>
      </c>
      <c r="B167" s="6" t="s">
        <v>9</v>
      </c>
      <c r="C167" s="7">
        <v>1882</v>
      </c>
      <c r="D167" s="8">
        <v>45388</v>
      </c>
      <c r="E167" s="9" t="str">
        <f>+HYPERLINK("http://trademark.i-assist.jp/data/china/image_1882th/75204990.pdf","75204990")</f>
        <v>75204990</v>
      </c>
      <c r="F167" s="6" t="s">
        <v>468</v>
      </c>
      <c r="G167" s="6" t="s">
        <v>469</v>
      </c>
      <c r="H167" s="8" t="s">
        <v>470</v>
      </c>
      <c r="I167" s="14">
        <v>45246</v>
      </c>
    </row>
    <row r="168" spans="1:9" x14ac:dyDescent="0.15">
      <c r="A168" s="5">
        <v>167</v>
      </c>
      <c r="B168" s="6" t="s">
        <v>9</v>
      </c>
      <c r="C168" s="7">
        <v>1882</v>
      </c>
      <c r="D168" s="8">
        <v>45388</v>
      </c>
      <c r="E168" s="9" t="str">
        <f>+HYPERLINK("http://trademark.i-assist.jp/data/china/image_1882th/75214013.pdf","75214013")</f>
        <v>75214013</v>
      </c>
      <c r="F168" s="6" t="s">
        <v>471</v>
      </c>
      <c r="G168" s="6" t="s">
        <v>472</v>
      </c>
      <c r="H168" s="8" t="s">
        <v>473</v>
      </c>
      <c r="I168" s="14">
        <v>45246</v>
      </c>
    </row>
    <row r="169" spans="1:9" x14ac:dyDescent="0.15">
      <c r="A169" s="5">
        <v>168</v>
      </c>
      <c r="B169" s="6" t="s">
        <v>9</v>
      </c>
      <c r="C169" s="7">
        <v>1882</v>
      </c>
      <c r="D169" s="8">
        <v>45388</v>
      </c>
      <c r="E169" s="9" t="str">
        <f>+HYPERLINK("http://trademark.i-assist.jp/data/china/image_1882th/75228542.pdf","75228542")</f>
        <v>75228542</v>
      </c>
      <c r="F169" s="6" t="s">
        <v>474</v>
      </c>
      <c r="G169" s="6" t="s">
        <v>475</v>
      </c>
      <c r="H169" s="8" t="s">
        <v>476</v>
      </c>
      <c r="I169" s="14">
        <v>45246</v>
      </c>
    </row>
    <row r="170" spans="1:9" x14ac:dyDescent="0.15">
      <c r="A170" s="5">
        <v>169</v>
      </c>
      <c r="B170" s="6" t="s">
        <v>9</v>
      </c>
      <c r="C170" s="7">
        <v>1882</v>
      </c>
      <c r="D170" s="8">
        <v>45388</v>
      </c>
      <c r="E170" s="9" t="str">
        <f>+HYPERLINK("http://trademark.i-assist.jp/data/china/image_1882th/75242072.pdf","75242072")</f>
        <v>75242072</v>
      </c>
      <c r="F170" s="6" t="s">
        <v>477</v>
      </c>
      <c r="G170" s="6" t="s">
        <v>478</v>
      </c>
      <c r="H170" s="8" t="s">
        <v>479</v>
      </c>
      <c r="I170" s="14">
        <v>45247</v>
      </c>
    </row>
    <row r="171" spans="1:9" x14ac:dyDescent="0.15">
      <c r="A171" s="5">
        <v>170</v>
      </c>
      <c r="B171" s="6" t="s">
        <v>9</v>
      </c>
      <c r="C171" s="7">
        <v>1882</v>
      </c>
      <c r="D171" s="8">
        <v>45388</v>
      </c>
      <c r="E171" s="9" t="str">
        <f>+HYPERLINK("http://trademark.i-assist.jp/data/china/image_1882th/75243395.pdf","75243395")</f>
        <v>75243395</v>
      </c>
      <c r="F171" s="6" t="s">
        <v>480</v>
      </c>
      <c r="G171" s="6" t="s">
        <v>481</v>
      </c>
      <c r="H171" s="8" t="s">
        <v>482</v>
      </c>
      <c r="I171" s="14">
        <v>45247</v>
      </c>
    </row>
    <row r="172" spans="1:9" x14ac:dyDescent="0.15">
      <c r="A172" s="5">
        <v>171</v>
      </c>
      <c r="B172" s="6" t="s">
        <v>9</v>
      </c>
      <c r="C172" s="7">
        <v>1882</v>
      </c>
      <c r="D172" s="8">
        <v>45388</v>
      </c>
      <c r="E172" s="9" t="str">
        <f>+HYPERLINK("http://trademark.i-assist.jp/data/china/image_1882th/75246495.pdf","75246495")</f>
        <v>75246495</v>
      </c>
      <c r="F172" s="6" t="s">
        <v>483</v>
      </c>
      <c r="G172" s="6" t="s">
        <v>478</v>
      </c>
      <c r="H172" s="8" t="s">
        <v>484</v>
      </c>
      <c r="I172" s="14">
        <v>45247</v>
      </c>
    </row>
    <row r="173" spans="1:9" x14ac:dyDescent="0.15">
      <c r="A173" s="5">
        <v>172</v>
      </c>
      <c r="B173" s="6" t="s">
        <v>9</v>
      </c>
      <c r="C173" s="7">
        <v>1882</v>
      </c>
      <c r="D173" s="8">
        <v>45388</v>
      </c>
      <c r="E173" s="9" t="str">
        <f>+HYPERLINK("http://trademark.i-assist.jp/data/china/image_1882th/75248117.pdf","75248117")</f>
        <v>75248117</v>
      </c>
      <c r="F173" s="6" t="s">
        <v>485</v>
      </c>
      <c r="G173" s="6" t="s">
        <v>478</v>
      </c>
      <c r="H173" s="8" t="s">
        <v>486</v>
      </c>
      <c r="I173" s="14">
        <v>45247</v>
      </c>
    </row>
    <row r="174" spans="1:9" x14ac:dyDescent="0.15">
      <c r="A174" s="5">
        <v>173</v>
      </c>
      <c r="B174" s="6" t="s">
        <v>9</v>
      </c>
      <c r="C174" s="7">
        <v>1882</v>
      </c>
      <c r="D174" s="8">
        <v>45388</v>
      </c>
      <c r="E174" s="9" t="str">
        <f>+HYPERLINK("http://trademark.i-assist.jp/data/china/image_1882th/75250121.pdf","75250121")</f>
        <v>75250121</v>
      </c>
      <c r="F174" s="6" t="s">
        <v>487</v>
      </c>
      <c r="G174" s="6" t="s">
        <v>488</v>
      </c>
      <c r="H174" s="8" t="s">
        <v>489</v>
      </c>
      <c r="I174" s="14">
        <v>45247</v>
      </c>
    </row>
    <row r="175" spans="1:9" x14ac:dyDescent="0.15">
      <c r="A175" s="5">
        <v>174</v>
      </c>
      <c r="B175" s="6" t="s">
        <v>9</v>
      </c>
      <c r="C175" s="7">
        <v>1882</v>
      </c>
      <c r="D175" s="8">
        <v>45388</v>
      </c>
      <c r="E175" s="9" t="str">
        <f>+HYPERLINK("http://trademark.i-assist.jp/data/china/image_1882th/75250877.pdf","75250877")</f>
        <v>75250877</v>
      </c>
      <c r="F175" s="6" t="s">
        <v>490</v>
      </c>
      <c r="G175" s="6" t="s">
        <v>491</v>
      </c>
      <c r="H175" s="8" t="s">
        <v>492</v>
      </c>
      <c r="I175" s="14">
        <v>45247</v>
      </c>
    </row>
    <row r="176" spans="1:9" x14ac:dyDescent="0.15">
      <c r="A176" s="5">
        <v>175</v>
      </c>
      <c r="B176" s="6" t="s">
        <v>9</v>
      </c>
      <c r="C176" s="7">
        <v>1882</v>
      </c>
      <c r="D176" s="8">
        <v>45388</v>
      </c>
      <c r="E176" s="9" t="str">
        <f>+HYPERLINK("http://trademark.i-assist.jp/data/china/image_1882th/75255422.pdf","75255422")</f>
        <v>75255422</v>
      </c>
      <c r="F176" s="6" t="s">
        <v>493</v>
      </c>
      <c r="G176" s="6" t="s">
        <v>494</v>
      </c>
      <c r="H176" s="8" t="s">
        <v>495</v>
      </c>
      <c r="I176" s="14">
        <v>45247</v>
      </c>
    </row>
    <row r="177" spans="1:9" x14ac:dyDescent="0.15">
      <c r="A177" s="5">
        <v>176</v>
      </c>
      <c r="B177" s="6" t="s">
        <v>9</v>
      </c>
      <c r="C177" s="7">
        <v>1882</v>
      </c>
      <c r="D177" s="8">
        <v>45388</v>
      </c>
      <c r="E177" s="9" t="str">
        <f>+HYPERLINK("http://trademark.i-assist.jp/data/china/image_1882th/75255869.pdf","75255869")</f>
        <v>75255869</v>
      </c>
      <c r="F177" s="6" t="s">
        <v>477</v>
      </c>
      <c r="G177" s="6" t="s">
        <v>478</v>
      </c>
      <c r="H177" s="8" t="s">
        <v>496</v>
      </c>
      <c r="I177" s="14">
        <v>45247</v>
      </c>
    </row>
    <row r="178" spans="1:9" x14ac:dyDescent="0.15">
      <c r="A178" s="5">
        <v>177</v>
      </c>
      <c r="B178" s="6" t="s">
        <v>9</v>
      </c>
      <c r="C178" s="7">
        <v>1882</v>
      </c>
      <c r="D178" s="8">
        <v>45388</v>
      </c>
      <c r="E178" s="9" t="str">
        <f>+HYPERLINK("http://trademark.i-assist.jp/data/china/image_1882th/75273228.pdf","75273228")</f>
        <v>75273228</v>
      </c>
      <c r="F178" s="6" t="s">
        <v>497</v>
      </c>
      <c r="G178" s="6" t="s">
        <v>498</v>
      </c>
      <c r="H178" s="8" t="s">
        <v>499</v>
      </c>
      <c r="I178" s="14">
        <v>45250</v>
      </c>
    </row>
    <row r="179" spans="1:9" x14ac:dyDescent="0.15">
      <c r="A179" s="5">
        <v>178</v>
      </c>
      <c r="B179" s="6" t="s">
        <v>9</v>
      </c>
      <c r="C179" s="7">
        <v>1882</v>
      </c>
      <c r="D179" s="8">
        <v>45388</v>
      </c>
      <c r="E179" s="9" t="str">
        <f>+HYPERLINK("http://trademark.i-assist.jp/data/china/image_1882th/75291253.pdf","75291253")</f>
        <v>75291253</v>
      </c>
      <c r="F179" s="6" t="s">
        <v>500</v>
      </c>
      <c r="G179" s="6" t="s">
        <v>498</v>
      </c>
      <c r="H179" s="8" t="s">
        <v>501</v>
      </c>
      <c r="I179" s="14">
        <v>45250</v>
      </c>
    </row>
    <row r="180" spans="1:9" x14ac:dyDescent="0.15">
      <c r="A180" s="5">
        <v>179</v>
      </c>
      <c r="B180" s="6" t="s">
        <v>9</v>
      </c>
      <c r="C180" s="7">
        <v>1882</v>
      </c>
      <c r="D180" s="8">
        <v>45388</v>
      </c>
      <c r="E180" s="9" t="str">
        <f>+HYPERLINK("http://trademark.i-assist.jp/data/china/image_1882th/75303674.pdf","75303674")</f>
        <v>75303674</v>
      </c>
      <c r="F180" s="6" t="s">
        <v>502</v>
      </c>
      <c r="G180" s="6" t="s">
        <v>503</v>
      </c>
      <c r="H180" s="8" t="s">
        <v>504</v>
      </c>
      <c r="I180" s="14">
        <v>45251</v>
      </c>
    </row>
    <row r="181" spans="1:9" x14ac:dyDescent="0.15">
      <c r="A181" s="5">
        <v>180</v>
      </c>
      <c r="B181" s="6" t="s">
        <v>9</v>
      </c>
      <c r="C181" s="7">
        <v>1882</v>
      </c>
      <c r="D181" s="8">
        <v>45388</v>
      </c>
      <c r="E181" s="9" t="str">
        <f>+HYPERLINK("http://trademark.i-assist.jp/data/china/image_1882th/75314209A.pdf","75314209A")</f>
        <v>75314209A</v>
      </c>
      <c r="F181" s="6" t="s">
        <v>505</v>
      </c>
      <c r="G181" s="6" t="s">
        <v>506</v>
      </c>
      <c r="H181" s="8" t="s">
        <v>507</v>
      </c>
      <c r="I181" s="14">
        <v>45251</v>
      </c>
    </row>
    <row r="182" spans="1:9" x14ac:dyDescent="0.15">
      <c r="A182" s="5">
        <v>181</v>
      </c>
      <c r="B182" s="6" t="s">
        <v>9</v>
      </c>
      <c r="C182" s="7">
        <v>1882</v>
      </c>
      <c r="D182" s="8">
        <v>45388</v>
      </c>
      <c r="E182" s="9" t="str">
        <f>+HYPERLINK("http://trademark.i-assist.jp/data/china/image_1882th/75325488.pdf","75325488")</f>
        <v>75325488</v>
      </c>
      <c r="F182" s="6" t="s">
        <v>508</v>
      </c>
      <c r="G182" s="6" t="s">
        <v>509</v>
      </c>
      <c r="H182" s="8" t="s">
        <v>510</v>
      </c>
      <c r="I182" s="14">
        <v>45252</v>
      </c>
    </row>
    <row r="183" spans="1:9" x14ac:dyDescent="0.15">
      <c r="A183" s="5">
        <v>182</v>
      </c>
      <c r="B183" s="6" t="s">
        <v>9</v>
      </c>
      <c r="C183" s="7">
        <v>1882</v>
      </c>
      <c r="D183" s="8">
        <v>45388</v>
      </c>
      <c r="E183" s="9" t="str">
        <f>+HYPERLINK("http://trademark.i-assist.jp/data/china/image_1882th/75332895.pdf","75332895")</f>
        <v>75332895</v>
      </c>
      <c r="F183" s="6" t="s">
        <v>511</v>
      </c>
      <c r="G183" s="6" t="s">
        <v>512</v>
      </c>
      <c r="H183" s="8" t="s">
        <v>513</v>
      </c>
      <c r="I183" s="14">
        <v>45252</v>
      </c>
    </row>
    <row r="184" spans="1:9" x14ac:dyDescent="0.15">
      <c r="A184" s="5">
        <v>183</v>
      </c>
      <c r="B184" s="6" t="s">
        <v>9</v>
      </c>
      <c r="C184" s="7">
        <v>1882</v>
      </c>
      <c r="D184" s="8">
        <v>45388</v>
      </c>
      <c r="E184" s="9" t="str">
        <f>+HYPERLINK("http://trademark.i-assist.jp/data/china/image_1882th/75346051.pdf","75346051")</f>
        <v>75346051</v>
      </c>
      <c r="F184" s="6" t="s">
        <v>514</v>
      </c>
      <c r="G184" s="6" t="s">
        <v>509</v>
      </c>
      <c r="H184" s="8" t="s">
        <v>515</v>
      </c>
      <c r="I184" s="14">
        <v>45252</v>
      </c>
    </row>
    <row r="185" spans="1:9" x14ac:dyDescent="0.15">
      <c r="A185" s="5">
        <v>184</v>
      </c>
      <c r="B185" s="6" t="s">
        <v>9</v>
      </c>
      <c r="C185" s="7">
        <v>1882</v>
      </c>
      <c r="D185" s="8">
        <v>45388</v>
      </c>
      <c r="E185" s="9" t="str">
        <f>+HYPERLINK("http://trademark.i-assist.jp/data/china/image_1882th/75350754A.pdf","75350754A")</f>
        <v>75350754A</v>
      </c>
      <c r="F185" s="6" t="s">
        <v>516</v>
      </c>
      <c r="G185" s="6" t="s">
        <v>517</v>
      </c>
      <c r="H185" s="8" t="s">
        <v>518</v>
      </c>
      <c r="I185" s="14">
        <v>45253</v>
      </c>
    </row>
    <row r="186" spans="1:9" x14ac:dyDescent="0.15">
      <c r="A186" s="5">
        <v>185</v>
      </c>
      <c r="B186" s="6" t="s">
        <v>9</v>
      </c>
      <c r="C186" s="7">
        <v>1882</v>
      </c>
      <c r="D186" s="8">
        <v>45388</v>
      </c>
      <c r="E186" s="9" t="str">
        <f>+HYPERLINK("http://trademark.i-assist.jp/data/china/image_1882th/75381795.pdf","75381795")</f>
        <v>75381795</v>
      </c>
      <c r="F186" s="6" t="s">
        <v>519</v>
      </c>
      <c r="G186" s="6" t="s">
        <v>520</v>
      </c>
      <c r="H186" s="8" t="s">
        <v>521</v>
      </c>
      <c r="I186" s="14">
        <v>45254</v>
      </c>
    </row>
    <row r="187" spans="1:9" x14ac:dyDescent="0.15">
      <c r="A187" s="5">
        <v>186</v>
      </c>
      <c r="B187" s="6" t="s">
        <v>9</v>
      </c>
      <c r="C187" s="7">
        <v>1882</v>
      </c>
      <c r="D187" s="8">
        <v>45388</v>
      </c>
      <c r="E187" s="9" t="str">
        <f>+HYPERLINK("http://trademark.i-assist.jp/data/china/image_1882th/75390390.pdf","75390390")</f>
        <v>75390390</v>
      </c>
      <c r="F187" s="6" t="s">
        <v>522</v>
      </c>
      <c r="G187" s="6" t="s">
        <v>523</v>
      </c>
      <c r="H187" s="8" t="s">
        <v>524</v>
      </c>
      <c r="I187" s="14">
        <v>45254</v>
      </c>
    </row>
    <row r="188" spans="1:9" x14ac:dyDescent="0.15">
      <c r="A188" s="5">
        <v>187</v>
      </c>
      <c r="B188" s="6" t="s">
        <v>9</v>
      </c>
      <c r="C188" s="7">
        <v>1882</v>
      </c>
      <c r="D188" s="8">
        <v>45388</v>
      </c>
      <c r="E188" s="9" t="str">
        <f>+HYPERLINK("http://trademark.i-assist.jp/data/china/image_1882th/75404303.pdf","75404303")</f>
        <v>75404303</v>
      </c>
      <c r="F188" s="6" t="s">
        <v>525</v>
      </c>
      <c r="G188" s="6" t="s">
        <v>526</v>
      </c>
      <c r="H188" s="8" t="s">
        <v>527</v>
      </c>
      <c r="I188" s="14">
        <v>45255</v>
      </c>
    </row>
    <row r="189" spans="1:9" x14ac:dyDescent="0.15">
      <c r="A189" s="5">
        <v>188</v>
      </c>
      <c r="B189" s="6" t="s">
        <v>9</v>
      </c>
      <c r="C189" s="7">
        <v>1882</v>
      </c>
      <c r="D189" s="8">
        <v>45388</v>
      </c>
      <c r="E189" s="9" t="str">
        <f>+HYPERLINK("http://trademark.i-assist.jp/data/china/image_1882th/75408941.pdf","75408941")</f>
        <v>75408941</v>
      </c>
      <c r="F189" s="6" t="s">
        <v>528</v>
      </c>
      <c r="G189" s="6" t="s">
        <v>526</v>
      </c>
      <c r="H189" s="8" t="s">
        <v>529</v>
      </c>
      <c r="I189" s="14">
        <v>45255</v>
      </c>
    </row>
    <row r="190" spans="1:9" x14ac:dyDescent="0.15">
      <c r="A190" s="5">
        <v>189</v>
      </c>
      <c r="B190" s="6" t="s">
        <v>9</v>
      </c>
      <c r="C190" s="7">
        <v>1882</v>
      </c>
      <c r="D190" s="8">
        <v>45388</v>
      </c>
      <c r="E190" s="9" t="str">
        <f>+HYPERLINK("http://trademark.i-assist.jp/data/china/image_1882th/75413819.pdf","75413819")</f>
        <v>75413819</v>
      </c>
      <c r="F190" s="6" t="s">
        <v>530</v>
      </c>
      <c r="G190" s="6" t="s">
        <v>531</v>
      </c>
      <c r="H190" s="8" t="s">
        <v>532</v>
      </c>
      <c r="I190" s="14">
        <v>45257</v>
      </c>
    </row>
    <row r="191" spans="1:9" x14ac:dyDescent="0.15">
      <c r="A191" s="5">
        <v>190</v>
      </c>
      <c r="B191" s="6" t="s">
        <v>9</v>
      </c>
      <c r="C191" s="7">
        <v>1882</v>
      </c>
      <c r="D191" s="8">
        <v>45388</v>
      </c>
      <c r="E191" s="9" t="str">
        <f>+HYPERLINK("http://trademark.i-assist.jp/data/china/image_1882th/75422548.pdf","75422548")</f>
        <v>75422548</v>
      </c>
      <c r="F191" s="6" t="s">
        <v>533</v>
      </c>
      <c r="G191" s="6" t="s">
        <v>534</v>
      </c>
      <c r="H191" s="8" t="s">
        <v>535</v>
      </c>
      <c r="I191" s="14">
        <v>45257</v>
      </c>
    </row>
    <row r="192" spans="1:9" x14ac:dyDescent="0.15">
      <c r="A192" s="5">
        <v>191</v>
      </c>
      <c r="B192" s="6" t="s">
        <v>9</v>
      </c>
      <c r="C192" s="7">
        <v>1882</v>
      </c>
      <c r="D192" s="8">
        <v>45388</v>
      </c>
      <c r="E192" s="9" t="str">
        <f>+HYPERLINK("http://trademark.i-assist.jp/data/china/image_1882th/75424382.pdf","75424382")</f>
        <v>75424382</v>
      </c>
      <c r="F192" s="6" t="s">
        <v>536</v>
      </c>
      <c r="G192" s="6" t="s">
        <v>534</v>
      </c>
      <c r="H192" s="8" t="s">
        <v>537</v>
      </c>
      <c r="I192" s="14">
        <v>45257</v>
      </c>
    </row>
    <row r="193" spans="1:9" x14ac:dyDescent="0.15">
      <c r="A193" s="5">
        <v>192</v>
      </c>
      <c r="B193" s="6" t="s">
        <v>9</v>
      </c>
      <c r="C193" s="7">
        <v>1882</v>
      </c>
      <c r="D193" s="8">
        <v>45388</v>
      </c>
      <c r="E193" s="9" t="str">
        <f>+HYPERLINK("http://trademark.i-assist.jp/data/china/image_1882th/75433510.pdf","75433510")</f>
        <v>75433510</v>
      </c>
      <c r="F193" s="6" t="s">
        <v>26</v>
      </c>
      <c r="G193" s="6" t="s">
        <v>538</v>
      </c>
      <c r="H193" s="8" t="s">
        <v>539</v>
      </c>
      <c r="I193" s="14">
        <v>45257</v>
      </c>
    </row>
    <row r="194" spans="1:9" x14ac:dyDescent="0.15">
      <c r="A194" s="5">
        <v>193</v>
      </c>
      <c r="B194" s="6" t="s">
        <v>9</v>
      </c>
      <c r="C194" s="7">
        <v>1882</v>
      </c>
      <c r="D194" s="8">
        <v>45388</v>
      </c>
      <c r="E194" s="9" t="str">
        <f>+HYPERLINK("http://trademark.i-assist.jp/data/china/image_1882th/75435224.pdf","75435224")</f>
        <v>75435224</v>
      </c>
      <c r="F194" s="6" t="s">
        <v>540</v>
      </c>
      <c r="G194" s="6" t="s">
        <v>534</v>
      </c>
      <c r="H194" s="8" t="s">
        <v>541</v>
      </c>
      <c r="I194" s="14">
        <v>45257</v>
      </c>
    </row>
    <row r="195" spans="1:9" x14ac:dyDescent="0.15">
      <c r="A195" s="5">
        <v>194</v>
      </c>
      <c r="B195" s="6" t="s">
        <v>9</v>
      </c>
      <c r="C195" s="7">
        <v>1882</v>
      </c>
      <c r="D195" s="8">
        <v>45388</v>
      </c>
      <c r="E195" s="9" t="str">
        <f>+HYPERLINK("http://trademark.i-assist.jp/data/china/image_1882th/75435599.pdf","75435599")</f>
        <v>75435599</v>
      </c>
      <c r="F195" s="6" t="s">
        <v>542</v>
      </c>
      <c r="G195" s="6" t="s">
        <v>534</v>
      </c>
      <c r="H195" s="8" t="s">
        <v>543</v>
      </c>
      <c r="I195" s="14">
        <v>45257</v>
      </c>
    </row>
    <row r="196" spans="1:9" x14ac:dyDescent="0.15">
      <c r="A196" s="5">
        <v>195</v>
      </c>
      <c r="B196" s="6" t="s">
        <v>9</v>
      </c>
      <c r="C196" s="7">
        <v>1882</v>
      </c>
      <c r="D196" s="8">
        <v>45388</v>
      </c>
      <c r="E196" s="9" t="str">
        <f>+HYPERLINK("http://trademark.i-assist.jp/data/china/image_1882th/75444417.pdf","75444417")</f>
        <v>75444417</v>
      </c>
      <c r="F196" s="6" t="s">
        <v>544</v>
      </c>
      <c r="G196" s="6" t="s">
        <v>545</v>
      </c>
      <c r="H196" s="8" t="s">
        <v>546</v>
      </c>
      <c r="I196" s="14">
        <v>45258</v>
      </c>
    </row>
    <row r="197" spans="1:9" x14ac:dyDescent="0.15">
      <c r="A197" s="5">
        <v>196</v>
      </c>
      <c r="B197" s="6" t="s">
        <v>9</v>
      </c>
      <c r="C197" s="7">
        <v>1882</v>
      </c>
      <c r="D197" s="8">
        <v>45388</v>
      </c>
      <c r="E197" s="9" t="str">
        <f>+HYPERLINK("http://trademark.i-assist.jp/data/china/image_1882th/75445080.pdf","75445080")</f>
        <v>75445080</v>
      </c>
      <c r="F197" s="6" t="s">
        <v>547</v>
      </c>
      <c r="G197" s="6" t="s">
        <v>548</v>
      </c>
      <c r="H197" s="8" t="s">
        <v>549</v>
      </c>
      <c r="I197" s="14">
        <v>45258</v>
      </c>
    </row>
    <row r="198" spans="1:9" x14ac:dyDescent="0.15">
      <c r="A198" s="5">
        <v>197</v>
      </c>
      <c r="B198" s="6" t="s">
        <v>9</v>
      </c>
      <c r="C198" s="7">
        <v>1882</v>
      </c>
      <c r="D198" s="8">
        <v>45388</v>
      </c>
      <c r="E198" s="9" t="str">
        <f>+HYPERLINK("http://trademark.i-assist.jp/data/china/image_1882th/75453394.pdf","75453394")</f>
        <v>75453394</v>
      </c>
      <c r="F198" s="6" t="s">
        <v>550</v>
      </c>
      <c r="G198" s="6" t="s">
        <v>551</v>
      </c>
      <c r="H198" s="8" t="s">
        <v>552</v>
      </c>
      <c r="I198" s="14">
        <v>45259</v>
      </c>
    </row>
    <row r="199" spans="1:9" x14ac:dyDescent="0.15">
      <c r="A199" s="5">
        <v>198</v>
      </c>
      <c r="B199" s="6" t="s">
        <v>9</v>
      </c>
      <c r="C199" s="7">
        <v>1882</v>
      </c>
      <c r="D199" s="8">
        <v>45388</v>
      </c>
      <c r="E199" s="9" t="str">
        <f>+HYPERLINK("http://trademark.i-assist.jp/data/china/image_1882th/75462784.pdf","75462784")</f>
        <v>75462784</v>
      </c>
      <c r="F199" s="6" t="s">
        <v>553</v>
      </c>
      <c r="G199" s="6" t="s">
        <v>545</v>
      </c>
      <c r="H199" s="8" t="s">
        <v>554</v>
      </c>
      <c r="I199" s="14">
        <v>45258</v>
      </c>
    </row>
    <row r="200" spans="1:9" x14ac:dyDescent="0.15">
      <c r="A200" s="5">
        <v>199</v>
      </c>
      <c r="B200" s="6" t="s">
        <v>9</v>
      </c>
      <c r="C200" s="7">
        <v>1882</v>
      </c>
      <c r="D200" s="8">
        <v>45388</v>
      </c>
      <c r="E200" s="9" t="str">
        <f>+HYPERLINK("http://trademark.i-assist.jp/data/china/image_1882th/75466032.pdf","75466032")</f>
        <v>75466032</v>
      </c>
      <c r="F200" s="6" t="s">
        <v>555</v>
      </c>
      <c r="G200" s="6" t="s">
        <v>556</v>
      </c>
      <c r="H200" s="8" t="s">
        <v>557</v>
      </c>
      <c r="I200" s="14">
        <v>45258</v>
      </c>
    </row>
    <row r="201" spans="1:9" x14ac:dyDescent="0.15">
      <c r="A201" s="5">
        <v>200</v>
      </c>
      <c r="B201" s="6" t="s">
        <v>9</v>
      </c>
      <c r="C201" s="7">
        <v>1882</v>
      </c>
      <c r="D201" s="8">
        <v>45388</v>
      </c>
      <c r="E201" s="9" t="str">
        <f>+HYPERLINK("http://trademark.i-assist.jp/data/china/image_1882th/75481325.pdf","75481325")</f>
        <v>75481325</v>
      </c>
      <c r="F201" s="6" t="s">
        <v>558</v>
      </c>
      <c r="G201" s="6" t="s">
        <v>559</v>
      </c>
      <c r="H201" s="8" t="s">
        <v>560</v>
      </c>
      <c r="I201" s="14">
        <v>45259</v>
      </c>
    </row>
    <row r="202" spans="1:9" x14ac:dyDescent="0.15">
      <c r="A202" s="5">
        <v>201</v>
      </c>
      <c r="B202" s="6" t="s">
        <v>9</v>
      </c>
      <c r="C202" s="7">
        <v>1882</v>
      </c>
      <c r="D202" s="8">
        <v>45388</v>
      </c>
      <c r="E202" s="9" t="str">
        <f>+HYPERLINK("http://trademark.i-assist.jp/data/china/image_1882th/75481683.pdf","75481683")</f>
        <v>75481683</v>
      </c>
      <c r="F202" s="6" t="s">
        <v>561</v>
      </c>
      <c r="G202" s="6" t="s">
        <v>562</v>
      </c>
      <c r="H202" s="8" t="s">
        <v>563</v>
      </c>
      <c r="I202" s="14">
        <v>45259</v>
      </c>
    </row>
    <row r="203" spans="1:9" x14ac:dyDescent="0.15">
      <c r="A203" s="5">
        <v>202</v>
      </c>
      <c r="B203" s="6" t="s">
        <v>9</v>
      </c>
      <c r="C203" s="7">
        <v>1882</v>
      </c>
      <c r="D203" s="8">
        <v>45388</v>
      </c>
      <c r="E203" s="9" t="str">
        <f>+HYPERLINK("http://trademark.i-assist.jp/data/china/image_1882th/75492429.pdf","75492429")</f>
        <v>75492429</v>
      </c>
      <c r="F203" s="6" t="s">
        <v>564</v>
      </c>
      <c r="G203" s="6" t="s">
        <v>565</v>
      </c>
      <c r="H203" s="8" t="s">
        <v>566</v>
      </c>
      <c r="I203" s="14">
        <v>45259</v>
      </c>
    </row>
    <row r="204" spans="1:9" x14ac:dyDescent="0.15">
      <c r="A204" s="5">
        <v>203</v>
      </c>
      <c r="B204" s="6" t="s">
        <v>9</v>
      </c>
      <c r="C204" s="7">
        <v>1882</v>
      </c>
      <c r="D204" s="8">
        <v>45388</v>
      </c>
      <c r="E204" s="9" t="str">
        <f>+HYPERLINK("http://trademark.i-assist.jp/data/china/image_1882th/75504424.pdf","75504424")</f>
        <v>75504424</v>
      </c>
      <c r="F204" s="6" t="s">
        <v>567</v>
      </c>
      <c r="G204" s="6" t="s">
        <v>568</v>
      </c>
      <c r="H204" s="8" t="s">
        <v>10</v>
      </c>
      <c r="I204" s="14">
        <v>45260</v>
      </c>
    </row>
    <row r="205" spans="1:9" x14ac:dyDescent="0.15">
      <c r="A205" s="5">
        <v>204</v>
      </c>
      <c r="B205" s="6" t="s">
        <v>9</v>
      </c>
      <c r="C205" s="7">
        <v>1882</v>
      </c>
      <c r="D205" s="8">
        <v>45388</v>
      </c>
      <c r="E205" s="9" t="str">
        <f>+HYPERLINK("http://trademark.i-assist.jp/data/china/image_1882th/75518417.pdf","75518417")</f>
        <v>75518417</v>
      </c>
      <c r="F205" s="6" t="s">
        <v>569</v>
      </c>
      <c r="G205" s="6" t="s">
        <v>570</v>
      </c>
      <c r="H205" s="8" t="s">
        <v>571</v>
      </c>
      <c r="I205" s="14">
        <v>45260</v>
      </c>
    </row>
    <row r="206" spans="1:9" x14ac:dyDescent="0.15">
      <c r="A206" s="5">
        <v>205</v>
      </c>
      <c r="B206" s="6" t="s">
        <v>9</v>
      </c>
      <c r="C206" s="7">
        <v>1882</v>
      </c>
      <c r="D206" s="8">
        <v>45388</v>
      </c>
      <c r="E206" s="9" t="str">
        <f>+HYPERLINK("http://trademark.i-assist.jp/data/china/image_1882th/75546562.pdf","75546562")</f>
        <v>75546562</v>
      </c>
      <c r="F206" s="6" t="s">
        <v>572</v>
      </c>
      <c r="G206" s="6" t="s">
        <v>573</v>
      </c>
      <c r="H206" s="8" t="s">
        <v>574</v>
      </c>
      <c r="I206" s="14">
        <v>45261</v>
      </c>
    </row>
    <row r="207" spans="1:9" x14ac:dyDescent="0.15">
      <c r="A207" s="5">
        <v>206</v>
      </c>
      <c r="B207" s="6" t="s">
        <v>9</v>
      </c>
      <c r="C207" s="7">
        <v>1882</v>
      </c>
      <c r="D207" s="8">
        <v>45388</v>
      </c>
      <c r="E207" s="9" t="str">
        <f>+HYPERLINK("http://trademark.i-assist.jp/data/china/image_1882th/75555398.pdf","75555398")</f>
        <v>75555398</v>
      </c>
      <c r="F207" s="6" t="s">
        <v>575</v>
      </c>
      <c r="G207" s="6" t="s">
        <v>576</v>
      </c>
      <c r="H207" s="8" t="s">
        <v>577</v>
      </c>
      <c r="I207" s="14">
        <v>45262</v>
      </c>
    </row>
    <row r="208" spans="1:9" x14ac:dyDescent="0.15">
      <c r="A208" s="5">
        <v>207</v>
      </c>
      <c r="B208" s="6" t="s">
        <v>9</v>
      </c>
      <c r="C208" s="7">
        <v>1882</v>
      </c>
      <c r="D208" s="8">
        <v>45388</v>
      </c>
      <c r="E208" s="9" t="str">
        <f>+HYPERLINK("http://trademark.i-assist.jp/data/china/image_1882th/75555584.pdf","75555584")</f>
        <v>75555584</v>
      </c>
      <c r="F208" s="6" t="s">
        <v>578</v>
      </c>
      <c r="G208" s="6" t="s">
        <v>579</v>
      </c>
      <c r="H208" s="8" t="s">
        <v>580</v>
      </c>
      <c r="I208" s="14">
        <v>45262</v>
      </c>
    </row>
    <row r="209" spans="1:9" x14ac:dyDescent="0.15">
      <c r="A209" s="5">
        <v>208</v>
      </c>
      <c r="B209" s="6" t="s">
        <v>9</v>
      </c>
      <c r="C209" s="7">
        <v>1882</v>
      </c>
      <c r="D209" s="8">
        <v>45388</v>
      </c>
      <c r="E209" s="9" t="str">
        <f>+HYPERLINK("http://trademark.i-assist.jp/data/china/image_1882th/75582501.pdf","75582501")</f>
        <v>75582501</v>
      </c>
      <c r="F209" s="6" t="s">
        <v>581</v>
      </c>
      <c r="G209" s="6" t="s">
        <v>582</v>
      </c>
      <c r="H209" s="8" t="s">
        <v>583</v>
      </c>
      <c r="I209" s="14">
        <v>45264</v>
      </c>
    </row>
    <row r="210" spans="1:9" x14ac:dyDescent="0.15">
      <c r="A210" s="5">
        <v>209</v>
      </c>
      <c r="B210" s="6" t="s">
        <v>9</v>
      </c>
      <c r="C210" s="7">
        <v>1882</v>
      </c>
      <c r="D210" s="8">
        <v>45388</v>
      </c>
      <c r="E210" s="9" t="str">
        <f>+HYPERLINK("http://trademark.i-assist.jp/data/china/image_1882th/75587569.pdf","75587569")</f>
        <v>75587569</v>
      </c>
      <c r="F210" s="6" t="s">
        <v>584</v>
      </c>
      <c r="G210" s="6" t="s">
        <v>585</v>
      </c>
      <c r="H210" s="8" t="s">
        <v>586</v>
      </c>
      <c r="I210" s="14">
        <v>45265</v>
      </c>
    </row>
    <row r="211" spans="1:9" x14ac:dyDescent="0.15">
      <c r="A211" s="5">
        <v>210</v>
      </c>
      <c r="B211" s="6" t="s">
        <v>9</v>
      </c>
      <c r="C211" s="7">
        <v>1882</v>
      </c>
      <c r="D211" s="8">
        <v>45388</v>
      </c>
      <c r="E211" s="9" t="str">
        <f>+HYPERLINK("http://trademark.i-assist.jp/data/china/image_1882th/75589228.pdf","75589228")</f>
        <v>75589228</v>
      </c>
      <c r="F211" s="6" t="s">
        <v>587</v>
      </c>
      <c r="G211" s="6" t="s">
        <v>588</v>
      </c>
      <c r="H211" s="8" t="s">
        <v>589</v>
      </c>
      <c r="I211" s="14">
        <v>45265</v>
      </c>
    </row>
    <row r="212" spans="1:9" x14ac:dyDescent="0.15">
      <c r="A212" s="5">
        <v>211</v>
      </c>
      <c r="B212" s="6" t="s">
        <v>9</v>
      </c>
      <c r="C212" s="7">
        <v>1882</v>
      </c>
      <c r="D212" s="8">
        <v>45388</v>
      </c>
      <c r="E212" s="9" t="str">
        <f>+HYPERLINK("http://trademark.i-assist.jp/data/china/image_1882th/75600175.pdf","75600175")</f>
        <v>75600175</v>
      </c>
      <c r="F212" s="6" t="s">
        <v>590</v>
      </c>
      <c r="G212" s="6" t="s">
        <v>591</v>
      </c>
      <c r="H212" s="8" t="s">
        <v>592</v>
      </c>
      <c r="I212" s="14">
        <v>45265</v>
      </c>
    </row>
    <row r="213" spans="1:9" x14ac:dyDescent="0.15">
      <c r="A213" s="5">
        <v>212</v>
      </c>
      <c r="B213" s="6" t="s">
        <v>9</v>
      </c>
      <c r="C213" s="7">
        <v>1882</v>
      </c>
      <c r="D213" s="8">
        <v>45388</v>
      </c>
      <c r="E213" s="9" t="str">
        <f>+HYPERLINK("http://trademark.i-assist.jp/data/china/image_1882th/75603292.pdf","75603292")</f>
        <v>75603292</v>
      </c>
      <c r="F213" s="6" t="s">
        <v>593</v>
      </c>
      <c r="G213" s="6" t="s">
        <v>594</v>
      </c>
      <c r="H213" s="8" t="s">
        <v>595</v>
      </c>
      <c r="I213" s="14">
        <v>45265</v>
      </c>
    </row>
    <row r="214" spans="1:9" x14ac:dyDescent="0.15">
      <c r="A214" s="5">
        <v>213</v>
      </c>
      <c r="B214" s="6" t="s">
        <v>9</v>
      </c>
      <c r="C214" s="7">
        <v>1882</v>
      </c>
      <c r="D214" s="8">
        <v>45388</v>
      </c>
      <c r="E214" s="9" t="str">
        <f>+HYPERLINK("http://trademark.i-assist.jp/data/china/image_1882th/75605718.pdf","75605718")</f>
        <v>75605718</v>
      </c>
      <c r="F214" s="6" t="s">
        <v>596</v>
      </c>
      <c r="G214" s="6" t="s">
        <v>597</v>
      </c>
      <c r="H214" s="8" t="s">
        <v>598</v>
      </c>
      <c r="I214" s="14">
        <v>45265</v>
      </c>
    </row>
    <row r="215" spans="1:9" x14ac:dyDescent="0.15">
      <c r="A215" s="5">
        <v>214</v>
      </c>
      <c r="B215" s="6" t="s">
        <v>9</v>
      </c>
      <c r="C215" s="7">
        <v>1882</v>
      </c>
      <c r="D215" s="8">
        <v>45388</v>
      </c>
      <c r="E215" s="9" t="str">
        <f>+HYPERLINK("http://trademark.i-assist.jp/data/china/image_1882th/75609663.pdf","75609663")</f>
        <v>75609663</v>
      </c>
      <c r="F215" s="6" t="s">
        <v>599</v>
      </c>
      <c r="G215" s="6" t="s">
        <v>600</v>
      </c>
      <c r="H215" s="8" t="s">
        <v>601</v>
      </c>
      <c r="I215" s="14">
        <v>45265</v>
      </c>
    </row>
    <row r="216" spans="1:9" x14ac:dyDescent="0.15">
      <c r="A216" s="5">
        <v>215</v>
      </c>
      <c r="B216" s="6" t="s">
        <v>9</v>
      </c>
      <c r="C216" s="7">
        <v>1882</v>
      </c>
      <c r="D216" s="8">
        <v>45388</v>
      </c>
      <c r="E216" s="9" t="str">
        <f>+HYPERLINK("http://trademark.i-assist.jp/data/china/image_1882th/75611676.pdf","75611676")</f>
        <v>75611676</v>
      </c>
      <c r="F216" s="6" t="s">
        <v>602</v>
      </c>
      <c r="G216" s="6" t="s">
        <v>603</v>
      </c>
      <c r="H216" s="8" t="s">
        <v>604</v>
      </c>
      <c r="I216" s="14">
        <v>45266</v>
      </c>
    </row>
    <row r="217" spans="1:9" x14ac:dyDescent="0.15">
      <c r="A217" s="5">
        <v>216</v>
      </c>
      <c r="B217" s="6" t="s">
        <v>9</v>
      </c>
      <c r="C217" s="7">
        <v>1882</v>
      </c>
      <c r="D217" s="8">
        <v>45388</v>
      </c>
      <c r="E217" s="9" t="str">
        <f>+HYPERLINK("http://trademark.i-assist.jp/data/china/image_1882th/75612178.pdf","75612178")</f>
        <v>75612178</v>
      </c>
      <c r="F217" s="6" t="s">
        <v>605</v>
      </c>
      <c r="G217" s="6" t="s">
        <v>606</v>
      </c>
      <c r="H217" s="8" t="s">
        <v>607</v>
      </c>
      <c r="I217" s="14">
        <v>45266</v>
      </c>
    </row>
    <row r="218" spans="1:9" x14ac:dyDescent="0.15">
      <c r="A218" s="5">
        <v>217</v>
      </c>
      <c r="B218" s="6" t="s">
        <v>9</v>
      </c>
      <c r="C218" s="7">
        <v>1882</v>
      </c>
      <c r="D218" s="8">
        <v>45388</v>
      </c>
      <c r="E218" s="9" t="str">
        <f>+HYPERLINK("http://trademark.i-assist.jp/data/china/image_1882th/75614670A.pdf","75614670A")</f>
        <v>75614670A</v>
      </c>
      <c r="F218" s="6" t="s">
        <v>608</v>
      </c>
      <c r="G218" s="6" t="s">
        <v>609</v>
      </c>
      <c r="H218" s="8" t="s">
        <v>610</v>
      </c>
      <c r="I218" s="14">
        <v>45266</v>
      </c>
    </row>
    <row r="219" spans="1:9" x14ac:dyDescent="0.15">
      <c r="A219" s="5">
        <v>218</v>
      </c>
      <c r="B219" s="6" t="s">
        <v>9</v>
      </c>
      <c r="C219" s="7">
        <v>1882</v>
      </c>
      <c r="D219" s="8">
        <v>45388</v>
      </c>
      <c r="E219" s="9" t="str">
        <f>+HYPERLINK("http://trademark.i-assist.jp/data/china/image_1882th/75618151.pdf","75618151")</f>
        <v>75618151</v>
      </c>
      <c r="F219" s="6" t="s">
        <v>611</v>
      </c>
      <c r="G219" s="6" t="s">
        <v>612</v>
      </c>
      <c r="H219" s="8" t="s">
        <v>613</v>
      </c>
      <c r="I219" s="14">
        <v>45266</v>
      </c>
    </row>
    <row r="220" spans="1:9" x14ac:dyDescent="0.15">
      <c r="A220" s="5">
        <v>219</v>
      </c>
      <c r="B220" s="6" t="s">
        <v>9</v>
      </c>
      <c r="C220" s="7">
        <v>1882</v>
      </c>
      <c r="D220" s="8">
        <v>45388</v>
      </c>
      <c r="E220" s="9" t="str">
        <f>+HYPERLINK("http://trademark.i-assist.jp/data/china/image_1882th/75626900.pdf","75626900")</f>
        <v>75626900</v>
      </c>
      <c r="F220" s="6" t="s">
        <v>614</v>
      </c>
      <c r="G220" s="6" t="s">
        <v>615</v>
      </c>
      <c r="H220" s="8" t="s">
        <v>616</v>
      </c>
      <c r="I220" s="14">
        <v>45266</v>
      </c>
    </row>
    <row r="221" spans="1:9" x14ac:dyDescent="0.15">
      <c r="A221" s="5">
        <v>220</v>
      </c>
      <c r="B221" s="6" t="s">
        <v>9</v>
      </c>
      <c r="C221" s="7">
        <v>1882</v>
      </c>
      <c r="D221" s="8">
        <v>45388</v>
      </c>
      <c r="E221" s="9" t="str">
        <f>+HYPERLINK("http://trademark.i-assist.jp/data/china/image_1882th/75632062.pdf","75632062")</f>
        <v>75632062</v>
      </c>
      <c r="F221" s="6" t="s">
        <v>617</v>
      </c>
      <c r="G221" s="6" t="s">
        <v>618</v>
      </c>
      <c r="H221" s="8" t="s">
        <v>619</v>
      </c>
      <c r="I221" s="14">
        <v>45266</v>
      </c>
    </row>
    <row r="222" spans="1:9" x14ac:dyDescent="0.15">
      <c r="A222" s="5">
        <v>221</v>
      </c>
      <c r="B222" s="6" t="s">
        <v>9</v>
      </c>
      <c r="C222" s="7">
        <v>1882</v>
      </c>
      <c r="D222" s="8">
        <v>45388</v>
      </c>
      <c r="E222" s="9" t="str">
        <f>+HYPERLINK("http://trademark.i-assist.jp/data/china/image_1882th/75632960.pdf","75632960")</f>
        <v>75632960</v>
      </c>
      <c r="F222" s="6" t="s">
        <v>620</v>
      </c>
      <c r="G222" s="6" t="s">
        <v>621</v>
      </c>
      <c r="H222" s="8" t="s">
        <v>622</v>
      </c>
      <c r="I222" s="14">
        <v>45266</v>
      </c>
    </row>
    <row r="223" spans="1:9" x14ac:dyDescent="0.15">
      <c r="A223" s="5">
        <v>222</v>
      </c>
      <c r="B223" s="6" t="s">
        <v>9</v>
      </c>
      <c r="C223" s="7">
        <v>1882</v>
      </c>
      <c r="D223" s="8">
        <v>45388</v>
      </c>
      <c r="E223" s="9" t="str">
        <f>+HYPERLINK("http://trademark.i-assist.jp/data/china/image_1882th/75639581.pdf","75639581")</f>
        <v>75639581</v>
      </c>
      <c r="F223" s="6" t="s">
        <v>26</v>
      </c>
      <c r="G223" s="6" t="s">
        <v>623</v>
      </c>
      <c r="H223" s="8" t="s">
        <v>624</v>
      </c>
      <c r="I223" s="14">
        <v>45267</v>
      </c>
    </row>
    <row r="224" spans="1:9" x14ac:dyDescent="0.15">
      <c r="A224" s="5">
        <v>223</v>
      </c>
      <c r="B224" s="6" t="s">
        <v>9</v>
      </c>
      <c r="C224" s="7">
        <v>1882</v>
      </c>
      <c r="D224" s="8">
        <v>45388</v>
      </c>
      <c r="E224" s="9" t="str">
        <f>+HYPERLINK("http://trademark.i-assist.jp/data/china/image_1882th/75641086.pdf","75641086")</f>
        <v>75641086</v>
      </c>
      <c r="F224" s="6" t="s">
        <v>26</v>
      </c>
      <c r="G224" s="6" t="s">
        <v>625</v>
      </c>
      <c r="H224" s="8" t="s">
        <v>626</v>
      </c>
      <c r="I224" s="14">
        <v>45267</v>
      </c>
    </row>
    <row r="225" spans="1:9" x14ac:dyDescent="0.15">
      <c r="A225" s="5">
        <v>224</v>
      </c>
      <c r="B225" s="6" t="s">
        <v>9</v>
      </c>
      <c r="C225" s="7">
        <v>1882</v>
      </c>
      <c r="D225" s="8">
        <v>45388</v>
      </c>
      <c r="E225" s="9" t="str">
        <f>+HYPERLINK("http://trademark.i-assist.jp/data/china/image_1882th/75642352.pdf","75642352")</f>
        <v>75642352</v>
      </c>
      <c r="F225" s="6" t="s">
        <v>627</v>
      </c>
      <c r="G225" s="6" t="s">
        <v>628</v>
      </c>
      <c r="H225" s="8" t="s">
        <v>629</v>
      </c>
      <c r="I225" s="14">
        <v>45267</v>
      </c>
    </row>
    <row r="226" spans="1:9" x14ac:dyDescent="0.15">
      <c r="A226" s="5">
        <v>225</v>
      </c>
      <c r="B226" s="6" t="s">
        <v>9</v>
      </c>
      <c r="C226" s="7">
        <v>1882</v>
      </c>
      <c r="D226" s="8">
        <v>45388</v>
      </c>
      <c r="E226" s="9" t="str">
        <f>+HYPERLINK("http://trademark.i-assist.jp/data/china/image_1882th/75648179.pdf","75648179")</f>
        <v>75648179</v>
      </c>
      <c r="F226" s="6" t="s">
        <v>26</v>
      </c>
      <c r="G226" s="6" t="s">
        <v>625</v>
      </c>
      <c r="H226" s="8" t="s">
        <v>630</v>
      </c>
      <c r="I226" s="14">
        <v>45267</v>
      </c>
    </row>
    <row r="227" spans="1:9" x14ac:dyDescent="0.15">
      <c r="A227" s="5">
        <v>226</v>
      </c>
      <c r="B227" s="6" t="s">
        <v>9</v>
      </c>
      <c r="C227" s="7">
        <v>1882</v>
      </c>
      <c r="D227" s="8">
        <v>45388</v>
      </c>
      <c r="E227" s="9" t="str">
        <f>+HYPERLINK("http://trademark.i-assist.jp/data/china/image_1882th/75650660.pdf","75650660")</f>
        <v>75650660</v>
      </c>
      <c r="F227" s="6" t="s">
        <v>26</v>
      </c>
      <c r="G227" s="6" t="s">
        <v>625</v>
      </c>
      <c r="H227" s="8" t="s">
        <v>631</v>
      </c>
      <c r="I227" s="14">
        <v>45267</v>
      </c>
    </row>
    <row r="228" spans="1:9" x14ac:dyDescent="0.15">
      <c r="A228" s="5">
        <v>227</v>
      </c>
      <c r="B228" s="6" t="s">
        <v>9</v>
      </c>
      <c r="C228" s="7">
        <v>1882</v>
      </c>
      <c r="D228" s="8">
        <v>45388</v>
      </c>
      <c r="E228" s="9" t="str">
        <f>+HYPERLINK("http://trademark.i-assist.jp/data/china/image_1882th/75658957.pdf","75658957")</f>
        <v>75658957</v>
      </c>
      <c r="F228" s="6" t="s">
        <v>26</v>
      </c>
      <c r="G228" s="6" t="s">
        <v>632</v>
      </c>
      <c r="H228" s="8" t="s">
        <v>633</v>
      </c>
      <c r="I228" s="14">
        <v>45267</v>
      </c>
    </row>
    <row r="229" spans="1:9" x14ac:dyDescent="0.15">
      <c r="A229" s="5">
        <v>228</v>
      </c>
      <c r="B229" s="6" t="s">
        <v>9</v>
      </c>
      <c r="C229" s="7">
        <v>1882</v>
      </c>
      <c r="D229" s="8">
        <v>45388</v>
      </c>
      <c r="E229" s="9" t="str">
        <f>+HYPERLINK("http://trademark.i-assist.jp/data/china/image_1882th/75659109.pdf","75659109")</f>
        <v>75659109</v>
      </c>
      <c r="F229" s="6" t="s">
        <v>26</v>
      </c>
      <c r="G229" s="6" t="s">
        <v>634</v>
      </c>
      <c r="H229" s="8" t="s">
        <v>635</v>
      </c>
      <c r="I229" s="14">
        <v>45267</v>
      </c>
    </row>
    <row r="230" spans="1:9" x14ac:dyDescent="0.15">
      <c r="A230" s="5">
        <v>229</v>
      </c>
      <c r="B230" s="6" t="s">
        <v>9</v>
      </c>
      <c r="C230" s="7">
        <v>1882</v>
      </c>
      <c r="D230" s="8">
        <v>45388</v>
      </c>
      <c r="E230" s="9" t="str">
        <f>+HYPERLINK("http://trademark.i-assist.jp/data/china/image_1882th/75660702.pdf","75660702")</f>
        <v>75660702</v>
      </c>
      <c r="F230" s="6" t="s">
        <v>636</v>
      </c>
      <c r="G230" s="6" t="s">
        <v>637</v>
      </c>
      <c r="H230" s="8" t="s">
        <v>638</v>
      </c>
      <c r="I230" s="14">
        <v>45267</v>
      </c>
    </row>
    <row r="231" spans="1:9" x14ac:dyDescent="0.15">
      <c r="A231" s="5">
        <v>230</v>
      </c>
      <c r="B231" s="6" t="s">
        <v>9</v>
      </c>
      <c r="C231" s="7">
        <v>1882</v>
      </c>
      <c r="D231" s="8">
        <v>45388</v>
      </c>
      <c r="E231" s="9" t="str">
        <f>+HYPERLINK("http://trademark.i-assist.jp/data/china/image_1882th/75662615.pdf","75662615")</f>
        <v>75662615</v>
      </c>
      <c r="F231" s="6" t="s">
        <v>639</v>
      </c>
      <c r="G231" s="6" t="s">
        <v>640</v>
      </c>
      <c r="H231" s="8" t="s">
        <v>641</v>
      </c>
      <c r="I231" s="14">
        <v>45267</v>
      </c>
    </row>
    <row r="232" spans="1:9" x14ac:dyDescent="0.15">
      <c r="A232" s="5">
        <v>231</v>
      </c>
      <c r="B232" s="6" t="s">
        <v>9</v>
      </c>
      <c r="C232" s="7">
        <v>1882</v>
      </c>
      <c r="D232" s="8">
        <v>45388</v>
      </c>
      <c r="E232" s="9" t="str">
        <f>+HYPERLINK("http://trademark.i-assist.jp/data/china/image_1882th/75662822.pdf","75662822")</f>
        <v>75662822</v>
      </c>
      <c r="F232" s="6" t="s">
        <v>642</v>
      </c>
      <c r="G232" s="6" t="s">
        <v>643</v>
      </c>
      <c r="H232" s="8" t="s">
        <v>644</v>
      </c>
      <c r="I232" s="14">
        <v>45267</v>
      </c>
    </row>
    <row r="233" spans="1:9" x14ac:dyDescent="0.15">
      <c r="A233" s="5">
        <v>232</v>
      </c>
      <c r="B233" s="6" t="s">
        <v>9</v>
      </c>
      <c r="C233" s="7">
        <v>1882</v>
      </c>
      <c r="D233" s="8">
        <v>45388</v>
      </c>
      <c r="E233" s="9" t="str">
        <f>+HYPERLINK("http://trademark.i-assist.jp/data/china/image_1882th/75663110.pdf","75663110")</f>
        <v>75663110</v>
      </c>
      <c r="F233" s="6" t="s">
        <v>645</v>
      </c>
      <c r="G233" s="6" t="s">
        <v>646</v>
      </c>
      <c r="H233" s="8" t="s">
        <v>647</v>
      </c>
      <c r="I233" s="14">
        <v>45267</v>
      </c>
    </row>
    <row r="234" spans="1:9" x14ac:dyDescent="0.15">
      <c r="A234" s="5">
        <v>233</v>
      </c>
      <c r="B234" s="6" t="s">
        <v>9</v>
      </c>
      <c r="C234" s="7">
        <v>1882</v>
      </c>
      <c r="D234" s="8">
        <v>45388</v>
      </c>
      <c r="E234" s="9" t="str">
        <f>+HYPERLINK("http://trademark.i-assist.jp/data/china/image_1882th/75666232.pdf","75666232")</f>
        <v>75666232</v>
      </c>
      <c r="F234" s="6" t="s">
        <v>648</v>
      </c>
      <c r="G234" s="6" t="s">
        <v>649</v>
      </c>
      <c r="H234" s="8" t="s">
        <v>650</v>
      </c>
      <c r="I234" s="14">
        <v>45268</v>
      </c>
    </row>
    <row r="235" spans="1:9" x14ac:dyDescent="0.15">
      <c r="A235" s="5">
        <v>234</v>
      </c>
      <c r="B235" s="6" t="s">
        <v>9</v>
      </c>
      <c r="C235" s="7">
        <v>1882</v>
      </c>
      <c r="D235" s="8">
        <v>45388</v>
      </c>
      <c r="E235" s="9" t="str">
        <f>+HYPERLINK("http://trademark.i-assist.jp/data/china/image_1882th/75666324.pdf","75666324")</f>
        <v>75666324</v>
      </c>
      <c r="F235" s="6" t="s">
        <v>651</v>
      </c>
      <c r="G235" s="6" t="s">
        <v>652</v>
      </c>
      <c r="H235" s="8" t="s">
        <v>653</v>
      </c>
      <c r="I235" s="14">
        <v>45268</v>
      </c>
    </row>
    <row r="236" spans="1:9" x14ac:dyDescent="0.15">
      <c r="A236" s="5">
        <v>235</v>
      </c>
      <c r="B236" s="6" t="s">
        <v>9</v>
      </c>
      <c r="C236" s="7">
        <v>1882</v>
      </c>
      <c r="D236" s="8">
        <v>45388</v>
      </c>
      <c r="E236" s="9" t="str">
        <f>+HYPERLINK("http://trademark.i-assist.jp/data/china/image_1882th/75675267.pdf","75675267")</f>
        <v>75675267</v>
      </c>
      <c r="F236" s="6" t="s">
        <v>654</v>
      </c>
      <c r="G236" s="6" t="s">
        <v>655</v>
      </c>
      <c r="H236" s="8" t="s">
        <v>656</v>
      </c>
      <c r="I236" s="14">
        <v>45268</v>
      </c>
    </row>
    <row r="237" spans="1:9" x14ac:dyDescent="0.15">
      <c r="A237" s="5">
        <v>236</v>
      </c>
      <c r="B237" s="6" t="s">
        <v>9</v>
      </c>
      <c r="C237" s="7">
        <v>1882</v>
      </c>
      <c r="D237" s="8">
        <v>45388</v>
      </c>
      <c r="E237" s="9" t="str">
        <f>+HYPERLINK("http://trademark.i-assist.jp/data/china/image_1882th/75676974.pdf","75676974")</f>
        <v>75676974</v>
      </c>
      <c r="F237" s="6" t="s">
        <v>657</v>
      </c>
      <c r="G237" s="6" t="s">
        <v>658</v>
      </c>
      <c r="H237" s="8" t="s">
        <v>659</v>
      </c>
      <c r="I237" s="14">
        <v>45268</v>
      </c>
    </row>
    <row r="238" spans="1:9" x14ac:dyDescent="0.15">
      <c r="A238" s="5">
        <v>237</v>
      </c>
      <c r="B238" s="6" t="s">
        <v>9</v>
      </c>
      <c r="C238" s="7">
        <v>1882</v>
      </c>
      <c r="D238" s="8">
        <v>45388</v>
      </c>
      <c r="E238" s="9" t="str">
        <f>+HYPERLINK("http://trademark.i-assist.jp/data/china/image_1882th/75682981.pdf","75682981")</f>
        <v>75682981</v>
      </c>
      <c r="F238" s="6" t="s">
        <v>660</v>
      </c>
      <c r="G238" s="6" t="s">
        <v>661</v>
      </c>
      <c r="H238" s="8" t="s">
        <v>662</v>
      </c>
      <c r="I238" s="14">
        <v>45268</v>
      </c>
    </row>
    <row r="239" spans="1:9" x14ac:dyDescent="0.15">
      <c r="A239" s="5">
        <v>238</v>
      </c>
      <c r="B239" s="6" t="s">
        <v>9</v>
      </c>
      <c r="C239" s="7">
        <v>1882</v>
      </c>
      <c r="D239" s="8">
        <v>45388</v>
      </c>
      <c r="E239" s="9" t="str">
        <f>+HYPERLINK("http://trademark.i-assist.jp/data/china/image_1882th/75687193.pdf","75687193")</f>
        <v>75687193</v>
      </c>
      <c r="F239" s="6" t="s">
        <v>663</v>
      </c>
      <c r="G239" s="6" t="s">
        <v>664</v>
      </c>
      <c r="H239" s="8" t="s">
        <v>665</v>
      </c>
      <c r="I239" s="14">
        <v>45268</v>
      </c>
    </row>
    <row r="240" spans="1:9" x14ac:dyDescent="0.15">
      <c r="A240" s="5">
        <v>239</v>
      </c>
      <c r="B240" s="6" t="s">
        <v>9</v>
      </c>
      <c r="C240" s="7">
        <v>1882</v>
      </c>
      <c r="D240" s="8">
        <v>45388</v>
      </c>
      <c r="E240" s="9" t="str">
        <f>+HYPERLINK("http://trademark.i-assist.jp/data/china/image_1882th/75693331.pdf","75693331")</f>
        <v>75693331</v>
      </c>
      <c r="F240" s="6" t="s">
        <v>666</v>
      </c>
      <c r="G240" s="6" t="s">
        <v>494</v>
      </c>
      <c r="H240" s="8" t="s">
        <v>667</v>
      </c>
      <c r="I240" s="14">
        <v>45269</v>
      </c>
    </row>
    <row r="241" spans="1:9" x14ac:dyDescent="0.15">
      <c r="A241" s="5">
        <v>240</v>
      </c>
      <c r="B241" s="6" t="s">
        <v>9</v>
      </c>
      <c r="C241" s="7">
        <v>1882</v>
      </c>
      <c r="D241" s="8">
        <v>45388</v>
      </c>
      <c r="E241" s="9" t="str">
        <f>+HYPERLINK("http://trademark.i-assist.jp/data/china/image_1882th/75694839.pdf","75694839")</f>
        <v>75694839</v>
      </c>
      <c r="F241" s="6" t="s">
        <v>668</v>
      </c>
      <c r="G241" s="6" t="s">
        <v>669</v>
      </c>
      <c r="H241" s="8" t="s">
        <v>670</v>
      </c>
      <c r="I241" s="14">
        <v>45269</v>
      </c>
    </row>
    <row r="242" spans="1:9" x14ac:dyDescent="0.15">
      <c r="A242" s="5">
        <v>241</v>
      </c>
      <c r="B242" s="6" t="s">
        <v>9</v>
      </c>
      <c r="C242" s="7">
        <v>1882</v>
      </c>
      <c r="D242" s="8">
        <v>45388</v>
      </c>
      <c r="E242" s="9" t="str">
        <f>+HYPERLINK("http://trademark.i-assist.jp/data/china/image_1882th/75696173.pdf","75696173")</f>
        <v>75696173</v>
      </c>
      <c r="F242" s="6" t="s">
        <v>671</v>
      </c>
      <c r="G242" s="6" t="s">
        <v>649</v>
      </c>
      <c r="H242" s="8" t="s">
        <v>672</v>
      </c>
      <c r="I242" s="14">
        <v>45269</v>
      </c>
    </row>
    <row r="243" spans="1:9" x14ac:dyDescent="0.15">
      <c r="A243" s="5">
        <v>242</v>
      </c>
      <c r="B243" s="6" t="s">
        <v>9</v>
      </c>
      <c r="C243" s="7">
        <v>1882</v>
      </c>
      <c r="D243" s="8">
        <v>45388</v>
      </c>
      <c r="E243" s="9" t="str">
        <f>+HYPERLINK("http://trademark.i-assist.jp/data/china/image_1882th/75700492.pdf","75700492")</f>
        <v>75700492</v>
      </c>
      <c r="F243" s="6" t="s">
        <v>673</v>
      </c>
      <c r="G243" s="6" t="s">
        <v>674</v>
      </c>
      <c r="H243" s="8" t="s">
        <v>675</v>
      </c>
      <c r="I243" s="14">
        <v>45270</v>
      </c>
    </row>
    <row r="244" spans="1:9" x14ac:dyDescent="0.15">
      <c r="A244" s="5">
        <v>243</v>
      </c>
      <c r="B244" s="6" t="s">
        <v>9</v>
      </c>
      <c r="C244" s="7">
        <v>1882</v>
      </c>
      <c r="D244" s="8">
        <v>45388</v>
      </c>
      <c r="E244" s="9" t="str">
        <f>+HYPERLINK("http://trademark.i-assist.jp/data/china/image_1882th/75702411.pdf","75702411")</f>
        <v>75702411</v>
      </c>
      <c r="F244" s="6" t="s">
        <v>676</v>
      </c>
      <c r="G244" s="6" t="s">
        <v>677</v>
      </c>
      <c r="H244" s="8" t="s">
        <v>678</v>
      </c>
      <c r="I244" s="14">
        <v>45271</v>
      </c>
    </row>
    <row r="245" spans="1:9" x14ac:dyDescent="0.15">
      <c r="A245" s="5">
        <v>244</v>
      </c>
      <c r="B245" s="6" t="s">
        <v>9</v>
      </c>
      <c r="C245" s="7">
        <v>1882</v>
      </c>
      <c r="D245" s="8">
        <v>45388</v>
      </c>
      <c r="E245" s="9" t="str">
        <f>+HYPERLINK("http://trademark.i-assist.jp/data/china/image_1882th/75703998.pdf","75703998")</f>
        <v>75703998</v>
      </c>
      <c r="F245" s="6" t="s">
        <v>679</v>
      </c>
      <c r="G245" s="6" t="s">
        <v>680</v>
      </c>
      <c r="H245" s="8" t="s">
        <v>681</v>
      </c>
      <c r="I245" s="14">
        <v>45271</v>
      </c>
    </row>
    <row r="246" spans="1:9" x14ac:dyDescent="0.15">
      <c r="A246" s="5">
        <v>245</v>
      </c>
      <c r="B246" s="6" t="s">
        <v>9</v>
      </c>
      <c r="C246" s="7">
        <v>1882</v>
      </c>
      <c r="D246" s="8">
        <v>45388</v>
      </c>
      <c r="E246" s="9" t="str">
        <f>+HYPERLINK("http://trademark.i-assist.jp/data/china/image_1882th/75707789.pdf","75707789")</f>
        <v>75707789</v>
      </c>
      <c r="F246" s="6" t="s">
        <v>682</v>
      </c>
      <c r="G246" s="6" t="s">
        <v>680</v>
      </c>
      <c r="H246" s="8" t="s">
        <v>683</v>
      </c>
      <c r="I246" s="14">
        <v>45271</v>
      </c>
    </row>
    <row r="247" spans="1:9" x14ac:dyDescent="0.15">
      <c r="A247" s="5">
        <v>246</v>
      </c>
      <c r="B247" s="6" t="s">
        <v>9</v>
      </c>
      <c r="C247" s="7">
        <v>1882</v>
      </c>
      <c r="D247" s="8">
        <v>45388</v>
      </c>
      <c r="E247" s="9" t="str">
        <f>+HYPERLINK("http://trademark.i-assist.jp/data/china/image_1882th/75711435.pdf","75711435")</f>
        <v>75711435</v>
      </c>
      <c r="F247" s="6" t="s">
        <v>684</v>
      </c>
      <c r="G247" s="6" t="s">
        <v>685</v>
      </c>
      <c r="H247" s="8" t="s">
        <v>686</v>
      </c>
      <c r="I247" s="14">
        <v>45271</v>
      </c>
    </row>
    <row r="248" spans="1:9" x14ac:dyDescent="0.15">
      <c r="A248" s="5">
        <v>247</v>
      </c>
      <c r="B248" s="6" t="s">
        <v>9</v>
      </c>
      <c r="C248" s="7">
        <v>1882</v>
      </c>
      <c r="D248" s="8">
        <v>45388</v>
      </c>
      <c r="E248" s="9" t="str">
        <f>+HYPERLINK("http://trademark.i-assist.jp/data/china/image_1882th/75716209.pdf","75716209")</f>
        <v>75716209</v>
      </c>
      <c r="F248" s="6" t="s">
        <v>687</v>
      </c>
      <c r="G248" s="6" t="s">
        <v>688</v>
      </c>
      <c r="H248" s="8" t="s">
        <v>689</v>
      </c>
      <c r="I248" s="14">
        <v>45271</v>
      </c>
    </row>
    <row r="249" spans="1:9" x14ac:dyDescent="0.15">
      <c r="A249" s="5">
        <v>248</v>
      </c>
      <c r="B249" s="6" t="s">
        <v>9</v>
      </c>
      <c r="C249" s="7">
        <v>1882</v>
      </c>
      <c r="D249" s="8">
        <v>45388</v>
      </c>
      <c r="E249" s="9" t="str">
        <f>+HYPERLINK("http://trademark.i-assist.jp/data/china/image_1882th/75717704.pdf","75717704")</f>
        <v>75717704</v>
      </c>
      <c r="F249" s="6" t="s">
        <v>690</v>
      </c>
      <c r="G249" s="6" t="s">
        <v>691</v>
      </c>
      <c r="H249" s="8" t="s">
        <v>692</v>
      </c>
      <c r="I249" s="14">
        <v>45271</v>
      </c>
    </row>
    <row r="250" spans="1:9" x14ac:dyDescent="0.15">
      <c r="A250" s="5">
        <v>249</v>
      </c>
      <c r="B250" s="6" t="s">
        <v>9</v>
      </c>
      <c r="C250" s="7">
        <v>1882</v>
      </c>
      <c r="D250" s="8">
        <v>45388</v>
      </c>
      <c r="E250" s="9" t="str">
        <f>+HYPERLINK("http://trademark.i-assist.jp/data/china/image_1882th/75722048.pdf","75722048")</f>
        <v>75722048</v>
      </c>
      <c r="F250" s="6" t="s">
        <v>693</v>
      </c>
      <c r="G250" s="6" t="s">
        <v>694</v>
      </c>
      <c r="H250" s="8" t="s">
        <v>695</v>
      </c>
      <c r="I250" s="14">
        <v>45271</v>
      </c>
    </row>
    <row r="251" spans="1:9" x14ac:dyDescent="0.15">
      <c r="A251" s="5">
        <v>250</v>
      </c>
      <c r="B251" s="6" t="s">
        <v>9</v>
      </c>
      <c r="C251" s="7">
        <v>1882</v>
      </c>
      <c r="D251" s="8">
        <v>45388</v>
      </c>
      <c r="E251" s="9" t="str">
        <f>+HYPERLINK("http://trademark.i-assist.jp/data/china/image_1882th/75723858.pdf","75723858")</f>
        <v>75723858</v>
      </c>
      <c r="F251" s="6" t="s">
        <v>696</v>
      </c>
      <c r="G251" s="6" t="s">
        <v>697</v>
      </c>
      <c r="H251" s="8" t="s">
        <v>698</v>
      </c>
      <c r="I251" s="14">
        <v>45271</v>
      </c>
    </row>
    <row r="252" spans="1:9" x14ac:dyDescent="0.15">
      <c r="A252" s="5">
        <v>251</v>
      </c>
      <c r="B252" s="6" t="s">
        <v>9</v>
      </c>
      <c r="C252" s="7">
        <v>1882</v>
      </c>
      <c r="D252" s="8">
        <v>45388</v>
      </c>
      <c r="E252" s="9" t="str">
        <f>+HYPERLINK("http://trademark.i-assist.jp/data/china/image_1882th/75724382.pdf","75724382")</f>
        <v>75724382</v>
      </c>
      <c r="F252" s="6" t="s">
        <v>699</v>
      </c>
      <c r="G252" s="6" t="s">
        <v>700</v>
      </c>
      <c r="H252" s="8" t="s">
        <v>701</v>
      </c>
      <c r="I252" s="14">
        <v>45271</v>
      </c>
    </row>
    <row r="253" spans="1:9" x14ac:dyDescent="0.15">
      <c r="A253" s="5">
        <v>252</v>
      </c>
      <c r="B253" s="6" t="s">
        <v>9</v>
      </c>
      <c r="C253" s="7">
        <v>1882</v>
      </c>
      <c r="D253" s="8">
        <v>45388</v>
      </c>
      <c r="E253" s="9" t="str">
        <f>+HYPERLINK("http://trademark.i-assist.jp/data/china/image_1882th/75730257.pdf","75730257")</f>
        <v>75730257</v>
      </c>
      <c r="F253" s="6" t="s">
        <v>702</v>
      </c>
      <c r="G253" s="6" t="s">
        <v>703</v>
      </c>
      <c r="H253" s="8" t="s">
        <v>704</v>
      </c>
      <c r="I253" s="14">
        <v>45272</v>
      </c>
    </row>
    <row r="254" spans="1:9" x14ac:dyDescent="0.15">
      <c r="A254" s="5">
        <v>253</v>
      </c>
      <c r="B254" s="6" t="s">
        <v>9</v>
      </c>
      <c r="C254" s="7">
        <v>1882</v>
      </c>
      <c r="D254" s="8">
        <v>45388</v>
      </c>
      <c r="E254" s="9" t="str">
        <f>+HYPERLINK("http://trademark.i-assist.jp/data/china/image_1882th/75731305.pdf","75731305")</f>
        <v>75731305</v>
      </c>
      <c r="F254" s="6" t="s">
        <v>705</v>
      </c>
      <c r="G254" s="6" t="s">
        <v>706</v>
      </c>
      <c r="H254" s="8" t="s">
        <v>707</v>
      </c>
      <c r="I254" s="14">
        <v>45272</v>
      </c>
    </row>
    <row r="255" spans="1:9" x14ac:dyDescent="0.15">
      <c r="A255" s="5">
        <v>254</v>
      </c>
      <c r="B255" s="6" t="s">
        <v>9</v>
      </c>
      <c r="C255" s="7">
        <v>1882</v>
      </c>
      <c r="D255" s="8">
        <v>45388</v>
      </c>
      <c r="E255" s="9" t="str">
        <f>+HYPERLINK("http://trademark.i-assist.jp/data/china/image_1882th/75740969.pdf","75740969")</f>
        <v>75740969</v>
      </c>
      <c r="F255" s="6" t="s">
        <v>708</v>
      </c>
      <c r="G255" s="6" t="s">
        <v>709</v>
      </c>
      <c r="H255" s="8" t="s">
        <v>710</v>
      </c>
      <c r="I255" s="14">
        <v>45272</v>
      </c>
    </row>
    <row r="256" spans="1:9" x14ac:dyDescent="0.15">
      <c r="A256" s="5">
        <v>255</v>
      </c>
      <c r="B256" s="6" t="s">
        <v>9</v>
      </c>
      <c r="C256" s="7">
        <v>1882</v>
      </c>
      <c r="D256" s="8">
        <v>45388</v>
      </c>
      <c r="E256" s="9" t="str">
        <f>+HYPERLINK("http://trademark.i-assist.jp/data/china/image_1882th/75746914.pdf","75746914")</f>
        <v>75746914</v>
      </c>
      <c r="F256" s="6" t="s">
        <v>26</v>
      </c>
      <c r="G256" s="6" t="s">
        <v>711</v>
      </c>
      <c r="H256" s="8" t="s">
        <v>712</v>
      </c>
      <c r="I256" s="14">
        <v>45272</v>
      </c>
    </row>
    <row r="257" spans="1:9" x14ac:dyDescent="0.15">
      <c r="A257" s="5">
        <v>256</v>
      </c>
      <c r="B257" s="6" t="s">
        <v>9</v>
      </c>
      <c r="C257" s="7">
        <v>1882</v>
      </c>
      <c r="D257" s="8">
        <v>45388</v>
      </c>
      <c r="E257" s="9" t="str">
        <f>+HYPERLINK("http://trademark.i-assist.jp/data/china/image_1882th/75747067.pdf","75747067")</f>
        <v>75747067</v>
      </c>
      <c r="F257" s="6" t="s">
        <v>713</v>
      </c>
      <c r="G257" s="6" t="s">
        <v>714</v>
      </c>
      <c r="H257" s="8" t="s">
        <v>715</v>
      </c>
      <c r="I257" s="14">
        <v>45272</v>
      </c>
    </row>
    <row r="258" spans="1:9" x14ac:dyDescent="0.15">
      <c r="A258" s="5">
        <v>257</v>
      </c>
      <c r="B258" s="6" t="s">
        <v>9</v>
      </c>
      <c r="C258" s="7">
        <v>1882</v>
      </c>
      <c r="D258" s="8">
        <v>45388</v>
      </c>
      <c r="E258" s="9" t="str">
        <f>+HYPERLINK("http://trademark.i-assist.jp/data/china/image_1882th/75747956.pdf","75747956")</f>
        <v>75747956</v>
      </c>
      <c r="F258" s="6" t="s">
        <v>716</v>
      </c>
      <c r="G258" s="6" t="s">
        <v>717</v>
      </c>
      <c r="H258" s="8" t="s">
        <v>718</v>
      </c>
      <c r="I258" s="14">
        <v>45272</v>
      </c>
    </row>
    <row r="259" spans="1:9" x14ac:dyDescent="0.15">
      <c r="A259" s="5">
        <v>258</v>
      </c>
      <c r="B259" s="6" t="s">
        <v>9</v>
      </c>
      <c r="C259" s="7">
        <v>1882</v>
      </c>
      <c r="D259" s="8">
        <v>45388</v>
      </c>
      <c r="E259" s="9" t="str">
        <f>+HYPERLINK("http://trademark.i-assist.jp/data/china/image_1882th/75748201.pdf","75748201")</f>
        <v>75748201</v>
      </c>
      <c r="F259" s="6" t="s">
        <v>719</v>
      </c>
      <c r="G259" s="6" t="s">
        <v>720</v>
      </c>
      <c r="H259" s="8" t="s">
        <v>721</v>
      </c>
      <c r="I259" s="14">
        <v>45272</v>
      </c>
    </row>
    <row r="260" spans="1:9" x14ac:dyDescent="0.15">
      <c r="A260" s="5">
        <v>259</v>
      </c>
      <c r="B260" s="6" t="s">
        <v>9</v>
      </c>
      <c r="C260" s="7">
        <v>1882</v>
      </c>
      <c r="D260" s="8">
        <v>45388</v>
      </c>
      <c r="E260" s="9" t="str">
        <f>+HYPERLINK("http://trademark.i-assist.jp/data/china/image_1882th/75748967.pdf","75748967")</f>
        <v>75748967</v>
      </c>
      <c r="F260" s="6" t="s">
        <v>722</v>
      </c>
      <c r="G260" s="6" t="s">
        <v>723</v>
      </c>
      <c r="H260" s="8" t="s">
        <v>724</v>
      </c>
      <c r="I260" s="14">
        <v>45272</v>
      </c>
    </row>
    <row r="261" spans="1:9" x14ac:dyDescent="0.15">
      <c r="A261" s="5">
        <v>260</v>
      </c>
      <c r="B261" s="6" t="s">
        <v>9</v>
      </c>
      <c r="C261" s="7">
        <v>1882</v>
      </c>
      <c r="D261" s="8">
        <v>45388</v>
      </c>
      <c r="E261" s="9" t="str">
        <f>+HYPERLINK("http://trademark.i-assist.jp/data/china/image_1882th/75749041.pdf","75749041")</f>
        <v>75749041</v>
      </c>
      <c r="F261" s="6" t="s">
        <v>26</v>
      </c>
      <c r="G261" s="6" t="s">
        <v>725</v>
      </c>
      <c r="H261" s="8" t="s">
        <v>726</v>
      </c>
      <c r="I261" s="14">
        <v>45272</v>
      </c>
    </row>
    <row r="262" spans="1:9" x14ac:dyDescent="0.15">
      <c r="A262" s="5">
        <v>261</v>
      </c>
      <c r="B262" s="6" t="s">
        <v>9</v>
      </c>
      <c r="C262" s="7">
        <v>1882</v>
      </c>
      <c r="D262" s="8">
        <v>45388</v>
      </c>
      <c r="E262" s="9" t="str">
        <f>+HYPERLINK("http://trademark.i-assist.jp/data/china/image_1882th/75749646.pdf","75749646")</f>
        <v>75749646</v>
      </c>
      <c r="F262" s="6" t="s">
        <v>727</v>
      </c>
      <c r="G262" s="6" t="s">
        <v>728</v>
      </c>
      <c r="H262" s="8" t="s">
        <v>729</v>
      </c>
      <c r="I262" s="14">
        <v>45272</v>
      </c>
    </row>
    <row r="263" spans="1:9" x14ac:dyDescent="0.15">
      <c r="A263" s="5">
        <v>262</v>
      </c>
      <c r="B263" s="6" t="s">
        <v>9</v>
      </c>
      <c r="C263" s="7">
        <v>1882</v>
      </c>
      <c r="D263" s="8">
        <v>45388</v>
      </c>
      <c r="E263" s="9" t="str">
        <f>+HYPERLINK("http://trademark.i-assist.jp/data/china/image_1882th/75755226.pdf","75755226")</f>
        <v>75755226</v>
      </c>
      <c r="F263" s="6" t="s">
        <v>730</v>
      </c>
      <c r="G263" s="6" t="s">
        <v>731</v>
      </c>
      <c r="H263" s="8" t="s">
        <v>732</v>
      </c>
      <c r="I263" s="14">
        <v>45272</v>
      </c>
    </row>
    <row r="264" spans="1:9" x14ac:dyDescent="0.15">
      <c r="A264" s="5">
        <v>263</v>
      </c>
      <c r="B264" s="6" t="s">
        <v>9</v>
      </c>
      <c r="C264" s="7">
        <v>1882</v>
      </c>
      <c r="D264" s="8">
        <v>45388</v>
      </c>
      <c r="E264" s="9" t="str">
        <f>+HYPERLINK("http://trademark.i-assist.jp/data/china/image_1882th/75757026.pdf","75757026")</f>
        <v>75757026</v>
      </c>
      <c r="F264" s="6" t="s">
        <v>733</v>
      </c>
      <c r="G264" s="6" t="s">
        <v>734</v>
      </c>
      <c r="H264" s="8" t="s">
        <v>735</v>
      </c>
      <c r="I264" s="14">
        <v>45273</v>
      </c>
    </row>
    <row r="265" spans="1:9" x14ac:dyDescent="0.15">
      <c r="A265" s="5">
        <v>264</v>
      </c>
      <c r="B265" s="6" t="s">
        <v>9</v>
      </c>
      <c r="C265" s="7">
        <v>1882</v>
      </c>
      <c r="D265" s="8">
        <v>45388</v>
      </c>
      <c r="E265" s="9" t="str">
        <f>+HYPERLINK("http://trademark.i-assist.jp/data/china/image_1882th/75757556.pdf","75757556")</f>
        <v>75757556</v>
      </c>
      <c r="F265" s="6" t="s">
        <v>736</v>
      </c>
      <c r="G265" s="6" t="s">
        <v>737</v>
      </c>
      <c r="H265" s="8" t="s">
        <v>738</v>
      </c>
      <c r="I265" s="14">
        <v>45273</v>
      </c>
    </row>
    <row r="266" spans="1:9" x14ac:dyDescent="0.15">
      <c r="A266" s="5">
        <v>265</v>
      </c>
      <c r="B266" s="6" t="s">
        <v>9</v>
      </c>
      <c r="C266" s="7">
        <v>1882</v>
      </c>
      <c r="D266" s="8">
        <v>45388</v>
      </c>
      <c r="E266" s="9" t="str">
        <f>+HYPERLINK("http://trademark.i-assist.jp/data/china/image_1882th/75758914.pdf","75758914")</f>
        <v>75758914</v>
      </c>
      <c r="F266" s="6" t="s">
        <v>739</v>
      </c>
      <c r="G266" s="6" t="s">
        <v>740</v>
      </c>
      <c r="H266" s="8" t="s">
        <v>741</v>
      </c>
      <c r="I266" s="14">
        <v>45273</v>
      </c>
    </row>
    <row r="267" spans="1:9" x14ac:dyDescent="0.15">
      <c r="A267" s="5">
        <v>266</v>
      </c>
      <c r="B267" s="6" t="s">
        <v>9</v>
      </c>
      <c r="C267" s="7">
        <v>1882</v>
      </c>
      <c r="D267" s="8">
        <v>45388</v>
      </c>
      <c r="E267" s="9" t="str">
        <f>+HYPERLINK("http://trademark.i-assist.jp/data/china/image_1882th/75760450.pdf","75760450")</f>
        <v>75760450</v>
      </c>
      <c r="F267" s="6" t="s">
        <v>742</v>
      </c>
      <c r="G267" s="6" t="s">
        <v>743</v>
      </c>
      <c r="H267" s="8" t="s">
        <v>744</v>
      </c>
      <c r="I267" s="14">
        <v>45273</v>
      </c>
    </row>
    <row r="268" spans="1:9" x14ac:dyDescent="0.15">
      <c r="A268" s="5">
        <v>267</v>
      </c>
      <c r="B268" s="6" t="s">
        <v>9</v>
      </c>
      <c r="C268" s="7">
        <v>1882</v>
      </c>
      <c r="D268" s="8">
        <v>45388</v>
      </c>
      <c r="E268" s="9" t="str">
        <f>+HYPERLINK("http://trademark.i-assist.jp/data/china/image_1882th/75762104.pdf","75762104")</f>
        <v>75762104</v>
      </c>
      <c r="F268" s="6" t="s">
        <v>745</v>
      </c>
      <c r="G268" s="6" t="s">
        <v>746</v>
      </c>
      <c r="H268" s="8" t="s">
        <v>747</v>
      </c>
      <c r="I268" s="14">
        <v>45273</v>
      </c>
    </row>
    <row r="269" spans="1:9" x14ac:dyDescent="0.15">
      <c r="A269" s="5">
        <v>268</v>
      </c>
      <c r="B269" s="6" t="s">
        <v>9</v>
      </c>
      <c r="C269" s="7">
        <v>1882</v>
      </c>
      <c r="D269" s="8">
        <v>45388</v>
      </c>
      <c r="E269" s="9" t="str">
        <f>+HYPERLINK("http://trademark.i-assist.jp/data/china/image_1882th/75762873.pdf","75762873")</f>
        <v>75762873</v>
      </c>
      <c r="F269" s="6" t="s">
        <v>748</v>
      </c>
      <c r="G269" s="6" t="s">
        <v>749</v>
      </c>
      <c r="H269" s="8" t="s">
        <v>750</v>
      </c>
      <c r="I269" s="14">
        <v>45273</v>
      </c>
    </row>
    <row r="270" spans="1:9" x14ac:dyDescent="0.15">
      <c r="A270" s="5">
        <v>269</v>
      </c>
      <c r="B270" s="6" t="s">
        <v>9</v>
      </c>
      <c r="C270" s="7">
        <v>1882</v>
      </c>
      <c r="D270" s="8">
        <v>45388</v>
      </c>
      <c r="E270" s="9" t="str">
        <f>+HYPERLINK("http://trademark.i-assist.jp/data/china/image_1882th/75763287.pdf","75763287")</f>
        <v>75763287</v>
      </c>
      <c r="F270" s="6" t="s">
        <v>751</v>
      </c>
      <c r="G270" s="6" t="s">
        <v>752</v>
      </c>
      <c r="H270" s="8" t="s">
        <v>753</v>
      </c>
      <c r="I270" s="14">
        <v>45273</v>
      </c>
    </row>
    <row r="271" spans="1:9" x14ac:dyDescent="0.15">
      <c r="A271" s="5">
        <v>270</v>
      </c>
      <c r="B271" s="6" t="s">
        <v>9</v>
      </c>
      <c r="C271" s="7">
        <v>1882</v>
      </c>
      <c r="D271" s="8">
        <v>45388</v>
      </c>
      <c r="E271" s="9" t="str">
        <f>+HYPERLINK("http://trademark.i-assist.jp/data/china/image_1882th/75764284.pdf","75764284")</f>
        <v>75764284</v>
      </c>
      <c r="F271" s="6" t="s">
        <v>754</v>
      </c>
      <c r="G271" s="6" t="s">
        <v>755</v>
      </c>
      <c r="H271" s="8" t="s">
        <v>756</v>
      </c>
      <c r="I271" s="14">
        <v>45273</v>
      </c>
    </row>
    <row r="272" spans="1:9" x14ac:dyDescent="0.15">
      <c r="A272" s="5">
        <v>271</v>
      </c>
      <c r="B272" s="6" t="s">
        <v>9</v>
      </c>
      <c r="C272" s="7">
        <v>1882</v>
      </c>
      <c r="D272" s="8">
        <v>45388</v>
      </c>
      <c r="E272" s="9" t="str">
        <f>+HYPERLINK("http://trademark.i-assist.jp/data/china/image_1882th/75764477.pdf","75764477")</f>
        <v>75764477</v>
      </c>
      <c r="F272" s="6" t="s">
        <v>757</v>
      </c>
      <c r="G272" s="6" t="s">
        <v>758</v>
      </c>
      <c r="H272" s="8" t="s">
        <v>759</v>
      </c>
      <c r="I272" s="14">
        <v>45273</v>
      </c>
    </row>
    <row r="273" spans="1:9" x14ac:dyDescent="0.15">
      <c r="A273" s="5">
        <v>272</v>
      </c>
      <c r="B273" s="6" t="s">
        <v>9</v>
      </c>
      <c r="C273" s="7">
        <v>1882</v>
      </c>
      <c r="D273" s="8">
        <v>45388</v>
      </c>
      <c r="E273" s="9" t="str">
        <f>+HYPERLINK("http://trademark.i-assist.jp/data/china/image_1882th/75765160.pdf","75765160")</f>
        <v>75765160</v>
      </c>
      <c r="F273" s="6" t="s">
        <v>760</v>
      </c>
      <c r="G273" s="6" t="s">
        <v>761</v>
      </c>
      <c r="H273" s="8" t="s">
        <v>762</v>
      </c>
      <c r="I273" s="14">
        <v>45273</v>
      </c>
    </row>
    <row r="274" spans="1:9" x14ac:dyDescent="0.15">
      <c r="A274" s="5">
        <v>273</v>
      </c>
      <c r="B274" s="6" t="s">
        <v>9</v>
      </c>
      <c r="C274" s="7">
        <v>1882</v>
      </c>
      <c r="D274" s="8">
        <v>45388</v>
      </c>
      <c r="E274" s="9" t="str">
        <f>+HYPERLINK("http://trademark.i-assist.jp/data/china/image_1882th/75765509.pdf","75765509")</f>
        <v>75765509</v>
      </c>
      <c r="F274" s="6" t="s">
        <v>763</v>
      </c>
      <c r="G274" s="6" t="s">
        <v>764</v>
      </c>
      <c r="H274" s="8" t="s">
        <v>765</v>
      </c>
      <c r="I274" s="14">
        <v>45273</v>
      </c>
    </row>
    <row r="275" spans="1:9" x14ac:dyDescent="0.15">
      <c r="A275" s="5">
        <v>274</v>
      </c>
      <c r="B275" s="6" t="s">
        <v>9</v>
      </c>
      <c r="C275" s="7">
        <v>1882</v>
      </c>
      <c r="D275" s="8">
        <v>45388</v>
      </c>
      <c r="E275" s="9" t="str">
        <f>+HYPERLINK("http://trademark.i-assist.jp/data/china/image_1882th/75767220.pdf","75767220")</f>
        <v>75767220</v>
      </c>
      <c r="F275" s="6" t="s">
        <v>26</v>
      </c>
      <c r="G275" s="6" t="s">
        <v>766</v>
      </c>
      <c r="H275" s="8" t="s">
        <v>767</v>
      </c>
      <c r="I275" s="14">
        <v>45273</v>
      </c>
    </row>
    <row r="276" spans="1:9" x14ac:dyDescent="0.15">
      <c r="A276" s="5">
        <v>275</v>
      </c>
      <c r="B276" s="6" t="s">
        <v>9</v>
      </c>
      <c r="C276" s="7">
        <v>1882</v>
      </c>
      <c r="D276" s="8">
        <v>45388</v>
      </c>
      <c r="E276" s="9" t="str">
        <f>+HYPERLINK("http://trademark.i-assist.jp/data/china/image_1882th/75767397.pdf","75767397")</f>
        <v>75767397</v>
      </c>
      <c r="F276" s="6" t="s">
        <v>768</v>
      </c>
      <c r="G276" s="6" t="s">
        <v>769</v>
      </c>
      <c r="H276" s="8" t="s">
        <v>770</v>
      </c>
      <c r="I276" s="14">
        <v>45273</v>
      </c>
    </row>
    <row r="277" spans="1:9" x14ac:dyDescent="0.15">
      <c r="A277" s="5">
        <v>276</v>
      </c>
      <c r="B277" s="6" t="s">
        <v>9</v>
      </c>
      <c r="C277" s="7">
        <v>1882</v>
      </c>
      <c r="D277" s="8">
        <v>45388</v>
      </c>
      <c r="E277" s="9" t="str">
        <f>+HYPERLINK("http://trademark.i-assist.jp/data/china/image_1882th/75771888.pdf","75771888")</f>
        <v>75771888</v>
      </c>
      <c r="F277" s="6" t="s">
        <v>771</v>
      </c>
      <c r="G277" s="6" t="s">
        <v>772</v>
      </c>
      <c r="H277" s="8" t="s">
        <v>773</v>
      </c>
      <c r="I277" s="14">
        <v>45273</v>
      </c>
    </row>
    <row r="278" spans="1:9" x14ac:dyDescent="0.15">
      <c r="A278" s="5">
        <v>277</v>
      </c>
      <c r="B278" s="6" t="s">
        <v>9</v>
      </c>
      <c r="C278" s="7">
        <v>1882</v>
      </c>
      <c r="D278" s="8">
        <v>45388</v>
      </c>
      <c r="E278" s="9" t="str">
        <f>+HYPERLINK("http://trademark.i-assist.jp/data/china/image_1882th/75772180.pdf","75772180")</f>
        <v>75772180</v>
      </c>
      <c r="F278" s="6" t="s">
        <v>774</v>
      </c>
      <c r="G278" s="6" t="s">
        <v>775</v>
      </c>
      <c r="H278" s="8" t="s">
        <v>776</v>
      </c>
      <c r="I278" s="14">
        <v>45273</v>
      </c>
    </row>
    <row r="279" spans="1:9" x14ac:dyDescent="0.15">
      <c r="A279" s="5">
        <v>278</v>
      </c>
      <c r="B279" s="6" t="s">
        <v>9</v>
      </c>
      <c r="C279" s="7">
        <v>1882</v>
      </c>
      <c r="D279" s="8">
        <v>45388</v>
      </c>
      <c r="E279" s="9" t="str">
        <f>+HYPERLINK("http://trademark.i-assist.jp/data/china/image_1882th/75776172.pdf","75776172")</f>
        <v>75776172</v>
      </c>
      <c r="F279" s="6" t="s">
        <v>777</v>
      </c>
      <c r="G279" s="6" t="s">
        <v>778</v>
      </c>
      <c r="H279" s="8" t="s">
        <v>779</v>
      </c>
      <c r="I279" s="14">
        <v>45273</v>
      </c>
    </row>
    <row r="280" spans="1:9" x14ac:dyDescent="0.15">
      <c r="A280" s="5">
        <v>279</v>
      </c>
      <c r="B280" s="6" t="s">
        <v>9</v>
      </c>
      <c r="C280" s="7">
        <v>1882</v>
      </c>
      <c r="D280" s="8">
        <v>45388</v>
      </c>
      <c r="E280" s="9" t="str">
        <f>+HYPERLINK("http://trademark.i-assist.jp/data/china/image_1882th/75778193.pdf","75778193")</f>
        <v>75778193</v>
      </c>
      <c r="F280" s="6" t="s">
        <v>780</v>
      </c>
      <c r="G280" s="6" t="s">
        <v>781</v>
      </c>
      <c r="H280" s="8" t="s">
        <v>782</v>
      </c>
      <c r="I280" s="14">
        <v>45273</v>
      </c>
    </row>
    <row r="281" spans="1:9" x14ac:dyDescent="0.15">
      <c r="A281" s="5">
        <v>280</v>
      </c>
      <c r="B281" s="6" t="s">
        <v>9</v>
      </c>
      <c r="C281" s="7">
        <v>1882</v>
      </c>
      <c r="D281" s="8">
        <v>45388</v>
      </c>
      <c r="E281" s="9" t="str">
        <f>+HYPERLINK("http://trademark.i-assist.jp/data/china/image_1882th/75781990.pdf","75781990")</f>
        <v>75781990</v>
      </c>
      <c r="F281" s="6" t="s">
        <v>783</v>
      </c>
      <c r="G281" s="6" t="s">
        <v>784</v>
      </c>
      <c r="H281" s="8" t="s">
        <v>785</v>
      </c>
      <c r="I281" s="14">
        <v>45274</v>
      </c>
    </row>
    <row r="282" spans="1:9" x14ac:dyDescent="0.15">
      <c r="A282" s="5">
        <v>281</v>
      </c>
      <c r="B282" s="6" t="s">
        <v>9</v>
      </c>
      <c r="C282" s="7">
        <v>1882</v>
      </c>
      <c r="D282" s="8">
        <v>45388</v>
      </c>
      <c r="E282" s="9" t="str">
        <f>+HYPERLINK("http://trademark.i-assist.jp/data/china/image_1882th/75785910.pdf","75785910")</f>
        <v>75785910</v>
      </c>
      <c r="F282" s="6" t="s">
        <v>786</v>
      </c>
      <c r="G282" s="6" t="s">
        <v>787</v>
      </c>
      <c r="H282" s="8" t="s">
        <v>788</v>
      </c>
      <c r="I282" s="14">
        <v>45274</v>
      </c>
    </row>
    <row r="283" spans="1:9" x14ac:dyDescent="0.15">
      <c r="A283" s="5">
        <v>282</v>
      </c>
      <c r="B283" s="6" t="s">
        <v>9</v>
      </c>
      <c r="C283" s="7">
        <v>1882</v>
      </c>
      <c r="D283" s="8">
        <v>45388</v>
      </c>
      <c r="E283" s="9" t="str">
        <f>+HYPERLINK("http://trademark.i-assist.jp/data/china/image_1882th/75788154.pdf","75788154")</f>
        <v>75788154</v>
      </c>
      <c r="F283" s="6" t="s">
        <v>789</v>
      </c>
      <c r="G283" s="6" t="s">
        <v>790</v>
      </c>
      <c r="H283" s="8" t="s">
        <v>791</v>
      </c>
      <c r="I283" s="14">
        <v>45274</v>
      </c>
    </row>
    <row r="284" spans="1:9" x14ac:dyDescent="0.15">
      <c r="A284" s="5">
        <v>283</v>
      </c>
      <c r="B284" s="6" t="s">
        <v>9</v>
      </c>
      <c r="C284" s="7">
        <v>1882</v>
      </c>
      <c r="D284" s="8">
        <v>45388</v>
      </c>
      <c r="E284" s="9" t="str">
        <f>+HYPERLINK("http://trademark.i-assist.jp/data/china/image_1882th/75791170.pdf","75791170")</f>
        <v>75791170</v>
      </c>
      <c r="F284" s="6" t="s">
        <v>792</v>
      </c>
      <c r="G284" s="6" t="s">
        <v>793</v>
      </c>
      <c r="H284" s="8" t="s">
        <v>794</v>
      </c>
      <c r="I284" s="14">
        <v>45274</v>
      </c>
    </row>
    <row r="285" spans="1:9" x14ac:dyDescent="0.15">
      <c r="A285" s="5">
        <v>284</v>
      </c>
      <c r="B285" s="6" t="s">
        <v>9</v>
      </c>
      <c r="C285" s="7">
        <v>1882</v>
      </c>
      <c r="D285" s="8">
        <v>45388</v>
      </c>
      <c r="E285" s="9" t="str">
        <f>+HYPERLINK("http://trademark.i-assist.jp/data/china/image_1882th/75794532.pdf","75794532")</f>
        <v>75794532</v>
      </c>
      <c r="F285" s="6" t="s">
        <v>795</v>
      </c>
      <c r="G285" s="6" t="s">
        <v>796</v>
      </c>
      <c r="H285" s="8" t="s">
        <v>797</v>
      </c>
      <c r="I285" s="14">
        <v>45274</v>
      </c>
    </row>
    <row r="286" spans="1:9" x14ac:dyDescent="0.15">
      <c r="A286" s="5">
        <v>285</v>
      </c>
      <c r="B286" s="6" t="s">
        <v>9</v>
      </c>
      <c r="C286" s="7">
        <v>1882</v>
      </c>
      <c r="D286" s="8">
        <v>45388</v>
      </c>
      <c r="E286" s="9" t="str">
        <f>+HYPERLINK("http://trademark.i-assist.jp/data/china/image_1882th/75795015.pdf","75795015")</f>
        <v>75795015</v>
      </c>
      <c r="F286" s="6" t="s">
        <v>798</v>
      </c>
      <c r="G286" s="6" t="s">
        <v>799</v>
      </c>
      <c r="H286" s="8" t="s">
        <v>800</v>
      </c>
      <c r="I286" s="14">
        <v>45274</v>
      </c>
    </row>
    <row r="287" spans="1:9" x14ac:dyDescent="0.15">
      <c r="A287" s="5">
        <v>286</v>
      </c>
      <c r="B287" s="6" t="s">
        <v>9</v>
      </c>
      <c r="C287" s="7">
        <v>1882</v>
      </c>
      <c r="D287" s="8">
        <v>45388</v>
      </c>
      <c r="E287" s="9" t="str">
        <f>+HYPERLINK("http://trademark.i-assist.jp/data/china/image_1882th/75795850.pdf","75795850")</f>
        <v>75795850</v>
      </c>
      <c r="F287" s="6" t="s">
        <v>801</v>
      </c>
      <c r="G287" s="6" t="s">
        <v>802</v>
      </c>
      <c r="H287" s="8" t="s">
        <v>803</v>
      </c>
      <c r="I287" s="14">
        <v>45275</v>
      </c>
    </row>
    <row r="288" spans="1:9" x14ac:dyDescent="0.15">
      <c r="A288" s="5">
        <v>287</v>
      </c>
      <c r="B288" s="6" t="s">
        <v>9</v>
      </c>
      <c r="C288" s="7">
        <v>1882</v>
      </c>
      <c r="D288" s="8">
        <v>45388</v>
      </c>
      <c r="E288" s="9" t="str">
        <f>+HYPERLINK("http://trademark.i-assist.jp/data/china/image_1882th/75797388.pdf","75797388")</f>
        <v>75797388</v>
      </c>
      <c r="F288" s="6" t="s">
        <v>804</v>
      </c>
      <c r="G288" s="6" t="s">
        <v>805</v>
      </c>
      <c r="H288" s="8" t="s">
        <v>806</v>
      </c>
      <c r="I288" s="14">
        <v>45274</v>
      </c>
    </row>
    <row r="289" spans="1:9" x14ac:dyDescent="0.15">
      <c r="A289" s="5">
        <v>288</v>
      </c>
      <c r="B289" s="6" t="s">
        <v>9</v>
      </c>
      <c r="C289" s="7">
        <v>1882</v>
      </c>
      <c r="D289" s="8">
        <v>45388</v>
      </c>
      <c r="E289" s="9" t="str">
        <f>+HYPERLINK("http://trademark.i-assist.jp/data/china/image_1882th/75798447.pdf","75798447")</f>
        <v>75798447</v>
      </c>
      <c r="F289" s="6" t="s">
        <v>807</v>
      </c>
      <c r="G289" s="6" t="s">
        <v>808</v>
      </c>
      <c r="H289" s="8" t="s">
        <v>809</v>
      </c>
      <c r="I289" s="14">
        <v>45274</v>
      </c>
    </row>
    <row r="290" spans="1:9" x14ac:dyDescent="0.15">
      <c r="A290" s="5">
        <v>289</v>
      </c>
      <c r="B290" s="6" t="s">
        <v>9</v>
      </c>
      <c r="C290" s="7">
        <v>1882</v>
      </c>
      <c r="D290" s="8">
        <v>45388</v>
      </c>
      <c r="E290" s="9" t="str">
        <f>+HYPERLINK("http://trademark.i-assist.jp/data/china/image_1882th/75799086.pdf","75799086")</f>
        <v>75799086</v>
      </c>
      <c r="F290" s="6" t="s">
        <v>810</v>
      </c>
      <c r="G290" s="6" t="s">
        <v>811</v>
      </c>
      <c r="H290" s="8" t="s">
        <v>812</v>
      </c>
      <c r="I290" s="14">
        <v>45274</v>
      </c>
    </row>
    <row r="291" spans="1:9" x14ac:dyDescent="0.15">
      <c r="A291" s="5">
        <v>290</v>
      </c>
      <c r="B291" s="6" t="s">
        <v>9</v>
      </c>
      <c r="C291" s="7">
        <v>1882</v>
      </c>
      <c r="D291" s="8">
        <v>45388</v>
      </c>
      <c r="E291" s="9" t="str">
        <f>+HYPERLINK("http://trademark.i-assist.jp/data/china/image_1882th/75801139.pdf","75801139")</f>
        <v>75801139</v>
      </c>
      <c r="F291" s="6" t="s">
        <v>813</v>
      </c>
      <c r="G291" s="6" t="s">
        <v>814</v>
      </c>
      <c r="H291" s="8" t="s">
        <v>815</v>
      </c>
      <c r="I291" s="14">
        <v>45274</v>
      </c>
    </row>
    <row r="292" spans="1:9" x14ac:dyDescent="0.15">
      <c r="A292" s="5">
        <v>291</v>
      </c>
      <c r="B292" s="6" t="s">
        <v>9</v>
      </c>
      <c r="C292" s="7">
        <v>1882</v>
      </c>
      <c r="D292" s="8">
        <v>45388</v>
      </c>
      <c r="E292" s="9" t="str">
        <f>+HYPERLINK("http://trademark.i-assist.jp/data/china/image_1882th/75801552.pdf","75801552")</f>
        <v>75801552</v>
      </c>
      <c r="F292" s="6" t="s">
        <v>816</v>
      </c>
      <c r="G292" s="6" t="s">
        <v>817</v>
      </c>
      <c r="H292" s="8" t="s">
        <v>818</v>
      </c>
      <c r="I292" s="14">
        <v>45274</v>
      </c>
    </row>
    <row r="293" spans="1:9" x14ac:dyDescent="0.15">
      <c r="A293" s="5">
        <v>292</v>
      </c>
      <c r="B293" s="6" t="s">
        <v>9</v>
      </c>
      <c r="C293" s="7">
        <v>1882</v>
      </c>
      <c r="D293" s="8">
        <v>45388</v>
      </c>
      <c r="E293" s="9" t="str">
        <f>+HYPERLINK("http://trademark.i-assist.jp/data/china/image_1882th/75802153.pdf","75802153")</f>
        <v>75802153</v>
      </c>
      <c r="F293" s="6" t="s">
        <v>819</v>
      </c>
      <c r="G293" s="6" t="s">
        <v>820</v>
      </c>
      <c r="H293" s="8" t="s">
        <v>821</v>
      </c>
      <c r="I293" s="14">
        <v>45274</v>
      </c>
    </row>
    <row r="294" spans="1:9" x14ac:dyDescent="0.15">
      <c r="A294" s="5">
        <v>293</v>
      </c>
      <c r="B294" s="6" t="s">
        <v>9</v>
      </c>
      <c r="C294" s="7">
        <v>1882</v>
      </c>
      <c r="D294" s="8">
        <v>45388</v>
      </c>
      <c r="E294" s="9" t="str">
        <f>+HYPERLINK("http://trademark.i-assist.jp/data/china/image_1882th/75802349.pdf","75802349")</f>
        <v>75802349</v>
      </c>
      <c r="F294" s="6" t="s">
        <v>822</v>
      </c>
      <c r="G294" s="6" t="s">
        <v>823</v>
      </c>
      <c r="H294" s="8" t="s">
        <v>824</v>
      </c>
      <c r="I294" s="14">
        <v>45274</v>
      </c>
    </row>
    <row r="295" spans="1:9" x14ac:dyDescent="0.15">
      <c r="A295" s="5">
        <v>294</v>
      </c>
      <c r="B295" s="6" t="s">
        <v>9</v>
      </c>
      <c r="C295" s="7">
        <v>1882</v>
      </c>
      <c r="D295" s="8">
        <v>45388</v>
      </c>
      <c r="E295" s="9" t="str">
        <f>+HYPERLINK("http://trademark.i-assist.jp/data/china/image_1882th/75805362.pdf","75805362")</f>
        <v>75805362</v>
      </c>
      <c r="F295" s="6" t="s">
        <v>825</v>
      </c>
      <c r="G295" s="6" t="s">
        <v>826</v>
      </c>
      <c r="H295" s="8" t="s">
        <v>827</v>
      </c>
      <c r="I295" s="14">
        <v>45274</v>
      </c>
    </row>
    <row r="296" spans="1:9" x14ac:dyDescent="0.15">
      <c r="A296" s="5">
        <v>295</v>
      </c>
      <c r="B296" s="6" t="s">
        <v>9</v>
      </c>
      <c r="C296" s="7">
        <v>1882</v>
      </c>
      <c r="D296" s="8">
        <v>45388</v>
      </c>
      <c r="E296" s="9" t="str">
        <f>+HYPERLINK("http://trademark.i-assist.jp/data/china/image_1882th/75805854.pdf","75805854")</f>
        <v>75805854</v>
      </c>
      <c r="F296" s="6" t="s">
        <v>828</v>
      </c>
      <c r="G296" s="6" t="s">
        <v>829</v>
      </c>
      <c r="H296" s="8" t="s">
        <v>830</v>
      </c>
      <c r="I296" s="14">
        <v>45274</v>
      </c>
    </row>
    <row r="297" spans="1:9" x14ac:dyDescent="0.15">
      <c r="A297" s="5">
        <v>296</v>
      </c>
      <c r="B297" s="6" t="s">
        <v>9</v>
      </c>
      <c r="C297" s="7">
        <v>1882</v>
      </c>
      <c r="D297" s="8">
        <v>45388</v>
      </c>
      <c r="E297" s="9" t="str">
        <f>+HYPERLINK("http://trademark.i-assist.jp/data/china/image_1882th/75806753.pdf","75806753")</f>
        <v>75806753</v>
      </c>
      <c r="F297" s="6" t="s">
        <v>831</v>
      </c>
      <c r="G297" s="6" t="s">
        <v>832</v>
      </c>
      <c r="H297" s="8" t="s">
        <v>833</v>
      </c>
      <c r="I297" s="14">
        <v>45274</v>
      </c>
    </row>
    <row r="298" spans="1:9" x14ac:dyDescent="0.15">
      <c r="A298" s="5">
        <v>297</v>
      </c>
      <c r="B298" s="6" t="s">
        <v>9</v>
      </c>
      <c r="C298" s="7">
        <v>1882</v>
      </c>
      <c r="D298" s="8">
        <v>45388</v>
      </c>
      <c r="E298" s="9" t="str">
        <f>+HYPERLINK("http://trademark.i-assist.jp/data/china/image_1882th/75807672.pdf","75807672")</f>
        <v>75807672</v>
      </c>
      <c r="F298" s="6" t="s">
        <v>834</v>
      </c>
      <c r="G298" s="6" t="s">
        <v>835</v>
      </c>
      <c r="H298" s="8" t="s">
        <v>836</v>
      </c>
      <c r="I298" s="14">
        <v>45275</v>
      </c>
    </row>
    <row r="299" spans="1:9" x14ac:dyDescent="0.15">
      <c r="A299" s="5">
        <v>298</v>
      </c>
      <c r="B299" s="6" t="s">
        <v>9</v>
      </c>
      <c r="C299" s="7">
        <v>1882</v>
      </c>
      <c r="D299" s="8">
        <v>45388</v>
      </c>
      <c r="E299" s="9" t="str">
        <f>+HYPERLINK("http://trademark.i-assist.jp/data/china/image_1882th/75809657.pdf","75809657")</f>
        <v>75809657</v>
      </c>
      <c r="F299" s="6" t="s">
        <v>837</v>
      </c>
      <c r="G299" s="6" t="s">
        <v>838</v>
      </c>
      <c r="H299" s="8" t="s">
        <v>839</v>
      </c>
      <c r="I299" s="14">
        <v>45275</v>
      </c>
    </row>
    <row r="300" spans="1:9" x14ac:dyDescent="0.15">
      <c r="A300" s="5">
        <v>299</v>
      </c>
      <c r="B300" s="6" t="s">
        <v>9</v>
      </c>
      <c r="C300" s="7">
        <v>1882</v>
      </c>
      <c r="D300" s="8">
        <v>45388</v>
      </c>
      <c r="E300" s="9" t="str">
        <f>+HYPERLINK("http://trademark.i-assist.jp/data/china/image_1882th/75811291.pdf","75811291")</f>
        <v>75811291</v>
      </c>
      <c r="F300" s="6" t="s">
        <v>840</v>
      </c>
      <c r="G300" s="6" t="s">
        <v>841</v>
      </c>
      <c r="H300" s="8" t="s">
        <v>842</v>
      </c>
      <c r="I300" s="14">
        <v>45275</v>
      </c>
    </row>
    <row r="301" spans="1:9" x14ac:dyDescent="0.15">
      <c r="A301" s="5">
        <v>300</v>
      </c>
      <c r="B301" s="6" t="s">
        <v>9</v>
      </c>
      <c r="C301" s="7">
        <v>1882</v>
      </c>
      <c r="D301" s="8">
        <v>45388</v>
      </c>
      <c r="E301" s="9" t="str">
        <f>+HYPERLINK("http://trademark.i-assist.jp/data/china/image_1882th/75811686.pdf","75811686")</f>
        <v>75811686</v>
      </c>
      <c r="F301" s="6" t="s">
        <v>843</v>
      </c>
      <c r="G301" s="6" t="s">
        <v>844</v>
      </c>
      <c r="H301" s="8" t="s">
        <v>845</v>
      </c>
      <c r="I301" s="14">
        <v>45275</v>
      </c>
    </row>
    <row r="302" spans="1:9" x14ac:dyDescent="0.15">
      <c r="A302" s="5">
        <v>301</v>
      </c>
      <c r="B302" s="6" t="s">
        <v>9</v>
      </c>
      <c r="C302" s="7">
        <v>1882</v>
      </c>
      <c r="D302" s="8">
        <v>45388</v>
      </c>
      <c r="E302" s="9" t="str">
        <f>+HYPERLINK("http://trademark.i-assist.jp/data/china/image_1882th/75813619.pdf","75813619")</f>
        <v>75813619</v>
      </c>
      <c r="F302" s="6" t="s">
        <v>846</v>
      </c>
      <c r="G302" s="6" t="s">
        <v>847</v>
      </c>
      <c r="H302" s="8" t="s">
        <v>848</v>
      </c>
      <c r="I302" s="14">
        <v>45275</v>
      </c>
    </row>
    <row r="303" spans="1:9" x14ac:dyDescent="0.15">
      <c r="A303" s="5">
        <v>302</v>
      </c>
      <c r="B303" s="6" t="s">
        <v>9</v>
      </c>
      <c r="C303" s="7">
        <v>1882</v>
      </c>
      <c r="D303" s="8">
        <v>45388</v>
      </c>
      <c r="E303" s="9" t="str">
        <f>+HYPERLINK("http://trademark.i-assist.jp/data/china/image_1882th/75818742.pdf","75818742")</f>
        <v>75818742</v>
      </c>
      <c r="F303" s="6" t="s">
        <v>849</v>
      </c>
      <c r="G303" s="6" t="s">
        <v>850</v>
      </c>
      <c r="H303" s="8" t="s">
        <v>851</v>
      </c>
      <c r="I303" s="14">
        <v>45275</v>
      </c>
    </row>
    <row r="304" spans="1:9" x14ac:dyDescent="0.15">
      <c r="A304" s="5">
        <v>303</v>
      </c>
      <c r="B304" s="6" t="s">
        <v>9</v>
      </c>
      <c r="C304" s="7">
        <v>1882</v>
      </c>
      <c r="D304" s="8">
        <v>45388</v>
      </c>
      <c r="E304" s="9" t="str">
        <f>+HYPERLINK("http://trademark.i-assist.jp/data/china/image_1882th/75821751.pdf","75821751")</f>
        <v>75821751</v>
      </c>
      <c r="F304" s="6" t="s">
        <v>852</v>
      </c>
      <c r="G304" s="6" t="s">
        <v>853</v>
      </c>
      <c r="H304" s="8" t="s">
        <v>854</v>
      </c>
      <c r="I304" s="14">
        <v>45275</v>
      </c>
    </row>
    <row r="305" spans="1:9" x14ac:dyDescent="0.15">
      <c r="A305" s="5">
        <v>304</v>
      </c>
      <c r="B305" s="6" t="s">
        <v>9</v>
      </c>
      <c r="C305" s="7">
        <v>1882</v>
      </c>
      <c r="D305" s="8">
        <v>45388</v>
      </c>
      <c r="E305" s="9" t="str">
        <f>+HYPERLINK("http://trademark.i-assist.jp/data/china/image_1882th/75823284.pdf","75823284")</f>
        <v>75823284</v>
      </c>
      <c r="F305" s="6" t="s">
        <v>852</v>
      </c>
      <c r="G305" s="6" t="s">
        <v>853</v>
      </c>
      <c r="H305" s="8" t="s">
        <v>855</v>
      </c>
      <c r="I305" s="14">
        <v>45275</v>
      </c>
    </row>
    <row r="306" spans="1:9" x14ac:dyDescent="0.15">
      <c r="A306" s="5">
        <v>305</v>
      </c>
      <c r="B306" s="6" t="s">
        <v>9</v>
      </c>
      <c r="C306" s="7">
        <v>1882</v>
      </c>
      <c r="D306" s="8">
        <v>45388</v>
      </c>
      <c r="E306" s="9" t="str">
        <f>+HYPERLINK("http://trademark.i-assist.jp/data/china/image_1882th/75823561.pdf","75823561")</f>
        <v>75823561</v>
      </c>
      <c r="F306" s="6" t="s">
        <v>856</v>
      </c>
      <c r="G306" s="6" t="s">
        <v>857</v>
      </c>
      <c r="H306" s="8" t="s">
        <v>858</v>
      </c>
      <c r="I306" s="14">
        <v>45275</v>
      </c>
    </row>
    <row r="307" spans="1:9" x14ac:dyDescent="0.15">
      <c r="A307" s="5">
        <v>306</v>
      </c>
      <c r="B307" s="6" t="s">
        <v>9</v>
      </c>
      <c r="C307" s="7">
        <v>1882</v>
      </c>
      <c r="D307" s="8">
        <v>45388</v>
      </c>
      <c r="E307" s="9" t="str">
        <f>+HYPERLINK("http://trademark.i-assist.jp/data/china/image_1882th/75823848.pdf","75823848")</f>
        <v>75823848</v>
      </c>
      <c r="F307" s="6" t="s">
        <v>859</v>
      </c>
      <c r="G307" s="6" t="s">
        <v>860</v>
      </c>
      <c r="H307" s="8" t="s">
        <v>861</v>
      </c>
      <c r="I307" s="14">
        <v>45275</v>
      </c>
    </row>
    <row r="308" spans="1:9" x14ac:dyDescent="0.15">
      <c r="A308" s="5">
        <v>307</v>
      </c>
      <c r="B308" s="6" t="s">
        <v>9</v>
      </c>
      <c r="C308" s="7">
        <v>1882</v>
      </c>
      <c r="D308" s="8">
        <v>45388</v>
      </c>
      <c r="E308" s="9" t="str">
        <f>+HYPERLINK("http://trademark.i-assist.jp/data/china/image_1882th/75825471.pdf","75825471")</f>
        <v>75825471</v>
      </c>
      <c r="F308" s="6" t="s">
        <v>862</v>
      </c>
      <c r="G308" s="6" t="s">
        <v>863</v>
      </c>
      <c r="H308" s="8" t="s">
        <v>864</v>
      </c>
      <c r="I308" s="14">
        <v>45275</v>
      </c>
    </row>
    <row r="309" spans="1:9" x14ac:dyDescent="0.15">
      <c r="A309" s="5">
        <v>308</v>
      </c>
      <c r="B309" s="6" t="s">
        <v>9</v>
      </c>
      <c r="C309" s="7">
        <v>1882</v>
      </c>
      <c r="D309" s="8">
        <v>45388</v>
      </c>
      <c r="E309" s="9" t="str">
        <f>+HYPERLINK("http://trademark.i-assist.jp/data/china/image_1882th/75825546.pdf","75825546")</f>
        <v>75825546</v>
      </c>
      <c r="F309" s="6" t="s">
        <v>865</v>
      </c>
      <c r="G309" s="6" t="s">
        <v>866</v>
      </c>
      <c r="H309" s="8" t="s">
        <v>867</v>
      </c>
      <c r="I309" s="14">
        <v>45275</v>
      </c>
    </row>
    <row r="310" spans="1:9" x14ac:dyDescent="0.15">
      <c r="A310" s="5">
        <v>309</v>
      </c>
      <c r="B310" s="6" t="s">
        <v>9</v>
      </c>
      <c r="C310" s="7">
        <v>1882</v>
      </c>
      <c r="D310" s="8">
        <v>45388</v>
      </c>
      <c r="E310" s="9" t="str">
        <f>+HYPERLINK("http://trademark.i-assist.jp/data/china/image_1882th/75828481.pdf","75828481")</f>
        <v>75828481</v>
      </c>
      <c r="F310" s="6" t="s">
        <v>868</v>
      </c>
      <c r="G310" s="6" t="s">
        <v>869</v>
      </c>
      <c r="H310" s="8" t="s">
        <v>870</v>
      </c>
      <c r="I310" s="14">
        <v>45275</v>
      </c>
    </row>
    <row r="311" spans="1:9" x14ac:dyDescent="0.15">
      <c r="A311" s="5">
        <v>310</v>
      </c>
      <c r="B311" s="6" t="s">
        <v>9</v>
      </c>
      <c r="C311" s="7">
        <v>1882</v>
      </c>
      <c r="D311" s="8">
        <v>45388</v>
      </c>
      <c r="E311" s="9" t="str">
        <f>+HYPERLINK("http://trademark.i-assist.jp/data/china/image_1882th/75831137.pdf","75831137")</f>
        <v>75831137</v>
      </c>
      <c r="F311" s="6" t="s">
        <v>26</v>
      </c>
      <c r="G311" s="6" t="s">
        <v>871</v>
      </c>
      <c r="H311" s="8" t="s">
        <v>872</v>
      </c>
      <c r="I311" s="14">
        <v>45275</v>
      </c>
    </row>
    <row r="312" spans="1:9" x14ac:dyDescent="0.15">
      <c r="A312" s="5">
        <v>311</v>
      </c>
      <c r="B312" s="6" t="s">
        <v>9</v>
      </c>
      <c r="C312" s="7">
        <v>1882</v>
      </c>
      <c r="D312" s="8">
        <v>45388</v>
      </c>
      <c r="E312" s="9" t="str">
        <f>+HYPERLINK("http://trademark.i-assist.jp/data/china/image_1882th/75832620.pdf","75832620")</f>
        <v>75832620</v>
      </c>
      <c r="F312" s="6" t="s">
        <v>873</v>
      </c>
      <c r="G312" s="6" t="s">
        <v>874</v>
      </c>
      <c r="H312" s="8" t="s">
        <v>875</v>
      </c>
      <c r="I312" s="14">
        <v>45275</v>
      </c>
    </row>
    <row r="313" spans="1:9" x14ac:dyDescent="0.15">
      <c r="A313" s="5">
        <v>312</v>
      </c>
      <c r="B313" s="6" t="s">
        <v>9</v>
      </c>
      <c r="C313" s="7">
        <v>1882</v>
      </c>
      <c r="D313" s="8">
        <v>45388</v>
      </c>
      <c r="E313" s="9" t="str">
        <f>+HYPERLINK("http://trademark.i-assist.jp/data/china/image_1882th/75833679.pdf","75833679")</f>
        <v>75833679</v>
      </c>
      <c r="F313" s="6" t="s">
        <v>876</v>
      </c>
      <c r="G313" s="6" t="s">
        <v>877</v>
      </c>
      <c r="H313" s="8" t="s">
        <v>878</v>
      </c>
      <c r="I313" s="14">
        <v>45275</v>
      </c>
    </row>
    <row r="314" spans="1:9" x14ac:dyDescent="0.15">
      <c r="A314" s="5">
        <v>313</v>
      </c>
      <c r="B314" s="6" t="s">
        <v>9</v>
      </c>
      <c r="C314" s="7">
        <v>1882</v>
      </c>
      <c r="D314" s="8">
        <v>45388</v>
      </c>
      <c r="E314" s="9" t="str">
        <f>+HYPERLINK("http://trademark.i-assist.jp/data/china/image_1882th/75834956.pdf","75834956")</f>
        <v>75834956</v>
      </c>
      <c r="F314" s="6" t="s">
        <v>879</v>
      </c>
      <c r="G314" s="6" t="s">
        <v>880</v>
      </c>
      <c r="H314" s="8" t="s">
        <v>881</v>
      </c>
      <c r="I314" s="14">
        <v>45276</v>
      </c>
    </row>
    <row r="315" spans="1:9" x14ac:dyDescent="0.15">
      <c r="A315" s="5">
        <v>314</v>
      </c>
      <c r="B315" s="6" t="s">
        <v>9</v>
      </c>
      <c r="C315" s="7">
        <v>1882</v>
      </c>
      <c r="D315" s="8">
        <v>45388</v>
      </c>
      <c r="E315" s="9" t="str">
        <f>+HYPERLINK("http://trademark.i-assist.jp/data/china/image_1882th/75841613.pdf","75841613")</f>
        <v>75841613</v>
      </c>
      <c r="F315" s="6" t="s">
        <v>882</v>
      </c>
      <c r="G315" s="6" t="s">
        <v>883</v>
      </c>
      <c r="H315" s="8" t="s">
        <v>884</v>
      </c>
      <c r="I315" s="14">
        <v>45276</v>
      </c>
    </row>
    <row r="316" spans="1:9" x14ac:dyDescent="0.15">
      <c r="A316" s="5">
        <v>315</v>
      </c>
      <c r="B316" s="6" t="s">
        <v>9</v>
      </c>
      <c r="C316" s="7">
        <v>1882</v>
      </c>
      <c r="D316" s="8">
        <v>45388</v>
      </c>
      <c r="E316" s="9" t="str">
        <f>+HYPERLINK("http://trademark.i-assist.jp/data/china/image_1882th/75841666.pdf","75841666")</f>
        <v>75841666</v>
      </c>
      <c r="F316" s="6" t="s">
        <v>885</v>
      </c>
      <c r="G316" s="6" t="s">
        <v>886</v>
      </c>
      <c r="H316" s="8" t="s">
        <v>887</v>
      </c>
      <c r="I316" s="14">
        <v>45276</v>
      </c>
    </row>
    <row r="317" spans="1:9" x14ac:dyDescent="0.15">
      <c r="A317" s="5">
        <v>316</v>
      </c>
      <c r="B317" s="6" t="s">
        <v>9</v>
      </c>
      <c r="C317" s="7">
        <v>1882</v>
      </c>
      <c r="D317" s="8">
        <v>45388</v>
      </c>
      <c r="E317" s="9" t="str">
        <f>+HYPERLINK("http://trademark.i-assist.jp/data/china/image_1882th/75842132.pdf","75842132")</f>
        <v>75842132</v>
      </c>
      <c r="F317" s="6" t="s">
        <v>26</v>
      </c>
      <c r="G317" s="6" t="s">
        <v>888</v>
      </c>
      <c r="H317" s="8" t="s">
        <v>889</v>
      </c>
      <c r="I317" s="14">
        <v>45277</v>
      </c>
    </row>
    <row r="318" spans="1:9" x14ac:dyDescent="0.15">
      <c r="A318" s="5">
        <v>317</v>
      </c>
      <c r="B318" s="6" t="s">
        <v>9</v>
      </c>
      <c r="C318" s="7">
        <v>1882</v>
      </c>
      <c r="D318" s="8">
        <v>45388</v>
      </c>
      <c r="E318" s="9" t="str">
        <f>+HYPERLINK("http://trademark.i-assist.jp/data/china/image_1882th/75842621.pdf","75842621")</f>
        <v>75842621</v>
      </c>
      <c r="F318" s="6" t="s">
        <v>890</v>
      </c>
      <c r="G318" s="6" t="s">
        <v>877</v>
      </c>
      <c r="H318" s="8" t="s">
        <v>891</v>
      </c>
      <c r="I318" s="14">
        <v>45275</v>
      </c>
    </row>
    <row r="319" spans="1:9" x14ac:dyDescent="0.15">
      <c r="A319" s="5">
        <v>318</v>
      </c>
      <c r="B319" s="6" t="s">
        <v>9</v>
      </c>
      <c r="C319" s="7">
        <v>1882</v>
      </c>
      <c r="D319" s="8">
        <v>45388</v>
      </c>
      <c r="E319" s="9" t="str">
        <f>+HYPERLINK("http://trademark.i-assist.jp/data/china/image_1882th/75842938.pdf","75842938")</f>
        <v>75842938</v>
      </c>
      <c r="F319" s="6" t="s">
        <v>26</v>
      </c>
      <c r="G319" s="6" t="s">
        <v>888</v>
      </c>
      <c r="H319" s="8" t="s">
        <v>892</v>
      </c>
      <c r="I319" s="14">
        <v>45277</v>
      </c>
    </row>
    <row r="320" spans="1:9" x14ac:dyDescent="0.15">
      <c r="A320" s="5">
        <v>319</v>
      </c>
      <c r="B320" s="6" t="s">
        <v>9</v>
      </c>
      <c r="C320" s="7">
        <v>1882</v>
      </c>
      <c r="D320" s="8">
        <v>45388</v>
      </c>
      <c r="E320" s="9" t="str">
        <f>+HYPERLINK("http://trademark.i-assist.jp/data/china/image_1882th/75844193.pdf","75844193")</f>
        <v>75844193</v>
      </c>
      <c r="F320" s="6" t="s">
        <v>893</v>
      </c>
      <c r="G320" s="6" t="s">
        <v>894</v>
      </c>
      <c r="H320" s="8" t="s">
        <v>895</v>
      </c>
      <c r="I320" s="14">
        <v>45277</v>
      </c>
    </row>
    <row r="321" spans="1:9" x14ac:dyDescent="0.15">
      <c r="A321" s="5">
        <v>320</v>
      </c>
      <c r="B321" s="6" t="s">
        <v>9</v>
      </c>
      <c r="C321" s="7">
        <v>1882</v>
      </c>
      <c r="D321" s="8">
        <v>45388</v>
      </c>
      <c r="E321" s="9" t="str">
        <f>+HYPERLINK("http://trademark.i-assist.jp/data/china/image_1882th/75845441.pdf","75845441")</f>
        <v>75845441</v>
      </c>
      <c r="F321" s="6" t="s">
        <v>896</v>
      </c>
      <c r="G321" s="6" t="s">
        <v>897</v>
      </c>
      <c r="H321" s="8" t="s">
        <v>898</v>
      </c>
      <c r="I321" s="14">
        <v>45278</v>
      </c>
    </row>
    <row r="322" spans="1:9" x14ac:dyDescent="0.15">
      <c r="A322" s="5">
        <v>321</v>
      </c>
      <c r="B322" s="6" t="s">
        <v>9</v>
      </c>
      <c r="C322" s="7">
        <v>1882</v>
      </c>
      <c r="D322" s="8">
        <v>45388</v>
      </c>
      <c r="E322" s="9" t="str">
        <f>+HYPERLINK("http://trademark.i-assist.jp/data/china/image_1882th/75847989.pdf","75847989")</f>
        <v>75847989</v>
      </c>
      <c r="F322" s="6" t="s">
        <v>899</v>
      </c>
      <c r="G322" s="6" t="s">
        <v>900</v>
      </c>
      <c r="H322" s="8" t="s">
        <v>901</v>
      </c>
      <c r="I322" s="14">
        <v>45278</v>
      </c>
    </row>
    <row r="323" spans="1:9" x14ac:dyDescent="0.15">
      <c r="A323" s="5">
        <v>322</v>
      </c>
      <c r="B323" s="6" t="s">
        <v>9</v>
      </c>
      <c r="C323" s="7">
        <v>1882</v>
      </c>
      <c r="D323" s="8">
        <v>45388</v>
      </c>
      <c r="E323" s="9" t="str">
        <f>+HYPERLINK("http://trademark.i-assist.jp/data/china/image_1882th/75849082.pdf","75849082")</f>
        <v>75849082</v>
      </c>
      <c r="F323" s="6" t="s">
        <v>902</v>
      </c>
      <c r="G323" s="6" t="s">
        <v>903</v>
      </c>
      <c r="H323" s="8" t="s">
        <v>904</v>
      </c>
      <c r="I323" s="14">
        <v>45278</v>
      </c>
    </row>
    <row r="324" spans="1:9" x14ac:dyDescent="0.15">
      <c r="A324" s="5">
        <v>323</v>
      </c>
      <c r="B324" s="6" t="s">
        <v>9</v>
      </c>
      <c r="C324" s="7">
        <v>1882</v>
      </c>
      <c r="D324" s="8">
        <v>45388</v>
      </c>
      <c r="E324" s="9" t="str">
        <f>+HYPERLINK("http://trademark.i-assist.jp/data/china/image_1882th/75850198.pdf","75850198")</f>
        <v>75850198</v>
      </c>
      <c r="F324" s="6" t="s">
        <v>905</v>
      </c>
      <c r="G324" s="6" t="s">
        <v>906</v>
      </c>
      <c r="H324" s="8" t="s">
        <v>907</v>
      </c>
      <c r="I324" s="14">
        <v>45278</v>
      </c>
    </row>
    <row r="325" spans="1:9" x14ac:dyDescent="0.15">
      <c r="A325" s="5">
        <v>324</v>
      </c>
      <c r="B325" s="6" t="s">
        <v>9</v>
      </c>
      <c r="C325" s="7">
        <v>1882</v>
      </c>
      <c r="D325" s="8">
        <v>45388</v>
      </c>
      <c r="E325" s="9" t="str">
        <f>+HYPERLINK("http://trademark.i-assist.jp/data/china/image_1882th/75851825.pdf","75851825")</f>
        <v>75851825</v>
      </c>
      <c r="F325" s="6" t="s">
        <v>26</v>
      </c>
      <c r="G325" s="6" t="s">
        <v>908</v>
      </c>
      <c r="H325" s="8" t="s">
        <v>909</v>
      </c>
      <c r="I325" s="14">
        <v>45278</v>
      </c>
    </row>
    <row r="326" spans="1:9" x14ac:dyDescent="0.15">
      <c r="A326" s="5">
        <v>325</v>
      </c>
      <c r="B326" s="6" t="s">
        <v>9</v>
      </c>
      <c r="C326" s="7">
        <v>1882</v>
      </c>
      <c r="D326" s="8">
        <v>45388</v>
      </c>
      <c r="E326" s="9" t="str">
        <f>+HYPERLINK("http://trademark.i-assist.jp/data/china/image_1882th/75854457.pdf","75854457")</f>
        <v>75854457</v>
      </c>
      <c r="F326" s="6" t="s">
        <v>910</v>
      </c>
      <c r="G326" s="6" t="s">
        <v>911</v>
      </c>
      <c r="H326" s="8" t="s">
        <v>912</v>
      </c>
      <c r="I326" s="14">
        <v>45278</v>
      </c>
    </row>
    <row r="327" spans="1:9" x14ac:dyDescent="0.15">
      <c r="A327" s="5">
        <v>326</v>
      </c>
      <c r="B327" s="6" t="s">
        <v>9</v>
      </c>
      <c r="C327" s="7">
        <v>1882</v>
      </c>
      <c r="D327" s="8">
        <v>45388</v>
      </c>
      <c r="E327" s="9" t="str">
        <f>+HYPERLINK("http://trademark.i-assist.jp/data/china/image_1882th/75858828.pdf","75858828")</f>
        <v>75858828</v>
      </c>
      <c r="F327" s="6" t="s">
        <v>26</v>
      </c>
      <c r="G327" s="6" t="s">
        <v>913</v>
      </c>
      <c r="H327" s="8" t="s">
        <v>914</v>
      </c>
      <c r="I327" s="14">
        <v>45278</v>
      </c>
    </row>
    <row r="328" spans="1:9" x14ac:dyDescent="0.15">
      <c r="A328" s="5">
        <v>327</v>
      </c>
      <c r="B328" s="6" t="s">
        <v>9</v>
      </c>
      <c r="C328" s="7">
        <v>1882</v>
      </c>
      <c r="D328" s="8">
        <v>45388</v>
      </c>
      <c r="E328" s="9" t="str">
        <f>+HYPERLINK("http://trademark.i-assist.jp/data/china/image_1882th/75861549.pdf","75861549")</f>
        <v>75861549</v>
      </c>
      <c r="F328" s="6" t="s">
        <v>915</v>
      </c>
      <c r="G328" s="6" t="s">
        <v>916</v>
      </c>
      <c r="H328" s="8" t="s">
        <v>917</v>
      </c>
      <c r="I328" s="14">
        <v>45278</v>
      </c>
    </row>
    <row r="329" spans="1:9" x14ac:dyDescent="0.15">
      <c r="A329" s="5">
        <v>328</v>
      </c>
      <c r="B329" s="6" t="s">
        <v>9</v>
      </c>
      <c r="C329" s="7">
        <v>1882</v>
      </c>
      <c r="D329" s="8">
        <v>45388</v>
      </c>
      <c r="E329" s="9" t="str">
        <f>+HYPERLINK("http://trademark.i-assist.jp/data/china/image_1882th/75863010.pdf","75863010")</f>
        <v>75863010</v>
      </c>
      <c r="F329" s="6" t="s">
        <v>918</v>
      </c>
      <c r="G329" s="6" t="s">
        <v>919</v>
      </c>
      <c r="H329" s="8" t="s">
        <v>920</v>
      </c>
      <c r="I329" s="14">
        <v>45278</v>
      </c>
    </row>
    <row r="330" spans="1:9" x14ac:dyDescent="0.15">
      <c r="A330" s="5">
        <v>329</v>
      </c>
      <c r="B330" s="6" t="s">
        <v>9</v>
      </c>
      <c r="C330" s="7">
        <v>1882</v>
      </c>
      <c r="D330" s="8">
        <v>45388</v>
      </c>
      <c r="E330" s="9" t="str">
        <f>+HYPERLINK("http://trademark.i-assist.jp/data/china/image_1882th/75863481.pdf","75863481")</f>
        <v>75863481</v>
      </c>
      <c r="F330" s="6" t="s">
        <v>921</v>
      </c>
      <c r="G330" s="6" t="s">
        <v>919</v>
      </c>
      <c r="H330" s="8" t="s">
        <v>922</v>
      </c>
      <c r="I330" s="14">
        <v>45278</v>
      </c>
    </row>
    <row r="331" spans="1:9" x14ac:dyDescent="0.15">
      <c r="A331" s="5">
        <v>330</v>
      </c>
      <c r="B331" s="6" t="s">
        <v>9</v>
      </c>
      <c r="C331" s="7">
        <v>1882</v>
      </c>
      <c r="D331" s="8">
        <v>45388</v>
      </c>
      <c r="E331" s="9" t="str">
        <f>+HYPERLINK("http://trademark.i-assist.jp/data/china/image_1882th/75864571.pdf","75864571")</f>
        <v>75864571</v>
      </c>
      <c r="F331" s="6" t="s">
        <v>923</v>
      </c>
      <c r="G331" s="6" t="s">
        <v>924</v>
      </c>
      <c r="H331" s="8" t="s">
        <v>925</v>
      </c>
      <c r="I331" s="14">
        <v>45278</v>
      </c>
    </row>
    <row r="332" spans="1:9" x14ac:dyDescent="0.15">
      <c r="A332" s="5">
        <v>331</v>
      </c>
      <c r="B332" s="6" t="s">
        <v>9</v>
      </c>
      <c r="C332" s="7">
        <v>1882</v>
      </c>
      <c r="D332" s="8">
        <v>45388</v>
      </c>
      <c r="E332" s="9" t="str">
        <f>+HYPERLINK("http://trademark.i-assist.jp/data/china/image_1882th/75864838.pdf","75864838")</f>
        <v>75864838</v>
      </c>
      <c r="F332" s="6" t="s">
        <v>926</v>
      </c>
      <c r="G332" s="6" t="s">
        <v>927</v>
      </c>
      <c r="H332" s="8" t="s">
        <v>928</v>
      </c>
      <c r="I332" s="14">
        <v>45278</v>
      </c>
    </row>
    <row r="333" spans="1:9" x14ac:dyDescent="0.15">
      <c r="A333" s="5">
        <v>332</v>
      </c>
      <c r="B333" s="6" t="s">
        <v>9</v>
      </c>
      <c r="C333" s="7">
        <v>1882</v>
      </c>
      <c r="D333" s="8">
        <v>45388</v>
      </c>
      <c r="E333" s="9" t="str">
        <f>+HYPERLINK("http://trademark.i-assist.jp/data/china/image_1882th/75865004.pdf","75865004")</f>
        <v>75865004</v>
      </c>
      <c r="F333" s="6" t="s">
        <v>929</v>
      </c>
      <c r="G333" s="6" t="s">
        <v>930</v>
      </c>
      <c r="H333" s="8" t="s">
        <v>931</v>
      </c>
      <c r="I333" s="14">
        <v>45278</v>
      </c>
    </row>
    <row r="334" spans="1:9" x14ac:dyDescent="0.15">
      <c r="A334" s="5">
        <v>333</v>
      </c>
      <c r="B334" s="6" t="s">
        <v>9</v>
      </c>
      <c r="C334" s="7">
        <v>1882</v>
      </c>
      <c r="D334" s="8">
        <v>45388</v>
      </c>
      <c r="E334" s="9" t="str">
        <f>+HYPERLINK("http://trademark.i-assist.jp/data/china/image_1882th/75865054.pdf","75865054")</f>
        <v>75865054</v>
      </c>
      <c r="F334" s="6" t="s">
        <v>932</v>
      </c>
      <c r="G334" s="6" t="s">
        <v>933</v>
      </c>
      <c r="H334" s="8" t="s">
        <v>934</v>
      </c>
      <c r="I334" s="14">
        <v>45278</v>
      </c>
    </row>
    <row r="335" spans="1:9" x14ac:dyDescent="0.15">
      <c r="A335" s="5">
        <v>334</v>
      </c>
      <c r="B335" s="6" t="s">
        <v>9</v>
      </c>
      <c r="C335" s="7">
        <v>1882</v>
      </c>
      <c r="D335" s="8">
        <v>45388</v>
      </c>
      <c r="E335" s="9" t="str">
        <f>+HYPERLINK("http://trademark.i-assist.jp/data/china/image_1882th/75866751.pdf","75866751")</f>
        <v>75866751</v>
      </c>
      <c r="F335" s="6" t="s">
        <v>935</v>
      </c>
      <c r="G335" s="6" t="s">
        <v>936</v>
      </c>
      <c r="H335" s="8" t="s">
        <v>937</v>
      </c>
      <c r="I335" s="14">
        <v>45278</v>
      </c>
    </row>
    <row r="336" spans="1:9" x14ac:dyDescent="0.15">
      <c r="A336" s="5">
        <v>335</v>
      </c>
      <c r="B336" s="6" t="s">
        <v>9</v>
      </c>
      <c r="C336" s="7">
        <v>1882</v>
      </c>
      <c r="D336" s="8">
        <v>45388</v>
      </c>
      <c r="E336" s="9" t="str">
        <f>+HYPERLINK("http://trademark.i-assist.jp/data/china/image_1882th/75867038.pdf","75867038")</f>
        <v>75867038</v>
      </c>
      <c r="F336" s="6" t="s">
        <v>938</v>
      </c>
      <c r="G336" s="6" t="s">
        <v>939</v>
      </c>
      <c r="H336" s="8" t="s">
        <v>940</v>
      </c>
      <c r="I336" s="14">
        <v>45278</v>
      </c>
    </row>
    <row r="337" spans="1:9" x14ac:dyDescent="0.15">
      <c r="A337" s="5">
        <v>336</v>
      </c>
      <c r="B337" s="6" t="s">
        <v>9</v>
      </c>
      <c r="C337" s="7">
        <v>1882</v>
      </c>
      <c r="D337" s="8">
        <v>45388</v>
      </c>
      <c r="E337" s="9" t="str">
        <f>+HYPERLINK("http://trademark.i-assist.jp/data/china/image_1882th/75867220.pdf","75867220")</f>
        <v>75867220</v>
      </c>
      <c r="F337" s="6" t="s">
        <v>941</v>
      </c>
      <c r="G337" s="6" t="s">
        <v>942</v>
      </c>
      <c r="H337" s="8" t="s">
        <v>943</v>
      </c>
      <c r="I337" s="14">
        <v>45278</v>
      </c>
    </row>
    <row r="338" spans="1:9" x14ac:dyDescent="0.15">
      <c r="A338" s="5">
        <v>337</v>
      </c>
      <c r="B338" s="6" t="s">
        <v>9</v>
      </c>
      <c r="C338" s="7">
        <v>1882</v>
      </c>
      <c r="D338" s="8">
        <v>45388</v>
      </c>
      <c r="E338" s="9" t="str">
        <f>+HYPERLINK("http://trademark.i-assist.jp/data/china/image_1882th/75867661.pdf","75867661")</f>
        <v>75867661</v>
      </c>
      <c r="F338" s="6" t="s">
        <v>944</v>
      </c>
      <c r="G338" s="6" t="s">
        <v>945</v>
      </c>
      <c r="H338" s="8" t="s">
        <v>946</v>
      </c>
      <c r="I338" s="14">
        <v>45278</v>
      </c>
    </row>
    <row r="339" spans="1:9" x14ac:dyDescent="0.15">
      <c r="A339" s="5">
        <v>338</v>
      </c>
      <c r="B339" s="6" t="s">
        <v>9</v>
      </c>
      <c r="C339" s="7">
        <v>1882</v>
      </c>
      <c r="D339" s="8">
        <v>45388</v>
      </c>
      <c r="E339" s="9" t="str">
        <f>+HYPERLINK("http://trademark.i-assist.jp/data/china/image_1882th/75868855.pdf","75868855")</f>
        <v>75868855</v>
      </c>
      <c r="F339" s="6" t="s">
        <v>947</v>
      </c>
      <c r="G339" s="6" t="s">
        <v>948</v>
      </c>
      <c r="H339" s="8" t="s">
        <v>949</v>
      </c>
      <c r="I339" s="14">
        <v>45278</v>
      </c>
    </row>
    <row r="340" spans="1:9" x14ac:dyDescent="0.15">
      <c r="A340" s="5">
        <v>339</v>
      </c>
      <c r="B340" s="6" t="s">
        <v>9</v>
      </c>
      <c r="C340" s="7">
        <v>1882</v>
      </c>
      <c r="D340" s="8">
        <v>45388</v>
      </c>
      <c r="E340" s="9" t="str">
        <f>+HYPERLINK("http://trademark.i-assist.jp/data/china/image_1882th/75869097.pdf","75869097")</f>
        <v>75869097</v>
      </c>
      <c r="F340" s="6" t="s">
        <v>950</v>
      </c>
      <c r="G340" s="6" t="s">
        <v>951</v>
      </c>
      <c r="H340" s="8" t="s">
        <v>952</v>
      </c>
      <c r="I340" s="14">
        <v>45278</v>
      </c>
    </row>
    <row r="341" spans="1:9" x14ac:dyDescent="0.15">
      <c r="A341" s="5">
        <v>340</v>
      </c>
      <c r="B341" s="6" t="s">
        <v>9</v>
      </c>
      <c r="C341" s="7">
        <v>1882</v>
      </c>
      <c r="D341" s="8">
        <v>45388</v>
      </c>
      <c r="E341" s="9" t="str">
        <f>+HYPERLINK("http://trademark.i-assist.jp/data/china/image_1882th/75869811.pdf","75869811")</f>
        <v>75869811</v>
      </c>
      <c r="F341" s="6" t="s">
        <v>953</v>
      </c>
      <c r="G341" s="6" t="s">
        <v>954</v>
      </c>
      <c r="H341" s="8" t="s">
        <v>955</v>
      </c>
      <c r="I341" s="14">
        <v>45278</v>
      </c>
    </row>
    <row r="342" spans="1:9" x14ac:dyDescent="0.15">
      <c r="A342" s="5">
        <v>341</v>
      </c>
      <c r="B342" s="6" t="s">
        <v>9</v>
      </c>
      <c r="C342" s="7">
        <v>1882</v>
      </c>
      <c r="D342" s="8">
        <v>45388</v>
      </c>
      <c r="E342" s="9" t="str">
        <f>+HYPERLINK("http://trademark.i-assist.jp/data/china/image_1882th/75870183.pdf","75870183")</f>
        <v>75870183</v>
      </c>
      <c r="F342" s="6" t="s">
        <v>956</v>
      </c>
      <c r="G342" s="6" t="s">
        <v>957</v>
      </c>
      <c r="H342" s="8" t="s">
        <v>958</v>
      </c>
      <c r="I342" s="14">
        <v>45278</v>
      </c>
    </row>
    <row r="343" spans="1:9" x14ac:dyDescent="0.15">
      <c r="A343" s="5">
        <v>342</v>
      </c>
      <c r="B343" s="6" t="s">
        <v>9</v>
      </c>
      <c r="C343" s="7">
        <v>1882</v>
      </c>
      <c r="D343" s="8">
        <v>45388</v>
      </c>
      <c r="E343" s="9" t="str">
        <f>+HYPERLINK("http://trademark.i-assist.jp/data/china/image_1882th/75871302.pdf","75871302")</f>
        <v>75871302</v>
      </c>
      <c r="F343" s="6" t="s">
        <v>959</v>
      </c>
      <c r="G343" s="6" t="s">
        <v>960</v>
      </c>
      <c r="H343" s="8" t="s">
        <v>961</v>
      </c>
      <c r="I343" s="14">
        <v>45278</v>
      </c>
    </row>
    <row r="344" spans="1:9" x14ac:dyDescent="0.15">
      <c r="A344" s="5">
        <v>343</v>
      </c>
      <c r="B344" s="6" t="s">
        <v>9</v>
      </c>
      <c r="C344" s="7">
        <v>1882</v>
      </c>
      <c r="D344" s="8">
        <v>45388</v>
      </c>
      <c r="E344" s="9" t="str">
        <f>+HYPERLINK("http://trademark.i-assist.jp/data/china/image_1882th/75871508.pdf","75871508")</f>
        <v>75871508</v>
      </c>
      <c r="F344" s="6" t="s">
        <v>962</v>
      </c>
      <c r="G344" s="6" t="s">
        <v>963</v>
      </c>
      <c r="H344" s="8" t="s">
        <v>964</v>
      </c>
      <c r="I344" s="14">
        <v>45279</v>
      </c>
    </row>
    <row r="345" spans="1:9" x14ac:dyDescent="0.15">
      <c r="A345" s="5">
        <v>344</v>
      </c>
      <c r="B345" s="6" t="s">
        <v>9</v>
      </c>
      <c r="C345" s="7">
        <v>1882</v>
      </c>
      <c r="D345" s="8">
        <v>45388</v>
      </c>
      <c r="E345" s="9" t="str">
        <f>+HYPERLINK("http://trademark.i-assist.jp/data/china/image_1882th/75871586.pdf","75871586")</f>
        <v>75871586</v>
      </c>
      <c r="F345" s="6" t="s">
        <v>965</v>
      </c>
      <c r="G345" s="6" t="s">
        <v>966</v>
      </c>
      <c r="H345" s="8" t="s">
        <v>967</v>
      </c>
      <c r="I345" s="14">
        <v>45279</v>
      </c>
    </row>
    <row r="346" spans="1:9" x14ac:dyDescent="0.15">
      <c r="A346" s="5">
        <v>345</v>
      </c>
      <c r="B346" s="6" t="s">
        <v>9</v>
      </c>
      <c r="C346" s="7">
        <v>1882</v>
      </c>
      <c r="D346" s="8">
        <v>45388</v>
      </c>
      <c r="E346" s="9" t="str">
        <f>+HYPERLINK("http://trademark.i-assist.jp/data/china/image_1882th/75872170.pdf","75872170")</f>
        <v>75872170</v>
      </c>
      <c r="F346" s="6" t="s">
        <v>26</v>
      </c>
      <c r="G346" s="6" t="s">
        <v>968</v>
      </c>
      <c r="H346" s="8" t="s">
        <v>969</v>
      </c>
      <c r="I346" s="14">
        <v>45279</v>
      </c>
    </row>
    <row r="347" spans="1:9" x14ac:dyDescent="0.15">
      <c r="A347" s="5">
        <v>346</v>
      </c>
      <c r="B347" s="6" t="s">
        <v>9</v>
      </c>
      <c r="C347" s="7">
        <v>1882</v>
      </c>
      <c r="D347" s="8">
        <v>45388</v>
      </c>
      <c r="E347" s="9" t="str">
        <f>+HYPERLINK("http://trademark.i-assist.jp/data/china/image_1882th/75872747.pdf","75872747")</f>
        <v>75872747</v>
      </c>
      <c r="F347" s="6" t="s">
        <v>970</v>
      </c>
      <c r="G347" s="6" t="s">
        <v>971</v>
      </c>
      <c r="H347" s="8" t="s">
        <v>972</v>
      </c>
      <c r="I347" s="14">
        <v>45279</v>
      </c>
    </row>
    <row r="348" spans="1:9" x14ac:dyDescent="0.15">
      <c r="A348" s="5">
        <v>347</v>
      </c>
      <c r="B348" s="6" t="s">
        <v>9</v>
      </c>
      <c r="C348" s="7">
        <v>1882</v>
      </c>
      <c r="D348" s="8">
        <v>45388</v>
      </c>
      <c r="E348" s="9" t="str">
        <f>+HYPERLINK("http://trademark.i-assist.jp/data/china/image_1882th/75874332.pdf","75874332")</f>
        <v>75874332</v>
      </c>
      <c r="F348" s="6" t="s">
        <v>973</v>
      </c>
      <c r="G348" s="6" t="s">
        <v>974</v>
      </c>
      <c r="H348" s="8" t="s">
        <v>975</v>
      </c>
      <c r="I348" s="14">
        <v>45279</v>
      </c>
    </row>
    <row r="349" spans="1:9" x14ac:dyDescent="0.15">
      <c r="A349" s="5">
        <v>348</v>
      </c>
      <c r="B349" s="6" t="s">
        <v>9</v>
      </c>
      <c r="C349" s="7">
        <v>1882</v>
      </c>
      <c r="D349" s="8">
        <v>45388</v>
      </c>
      <c r="E349" s="9" t="str">
        <f>+HYPERLINK("http://trademark.i-assist.jp/data/china/image_1882th/75876097.pdf","75876097")</f>
        <v>75876097</v>
      </c>
      <c r="F349" s="6" t="s">
        <v>976</v>
      </c>
      <c r="G349" s="6" t="s">
        <v>977</v>
      </c>
      <c r="H349" s="8" t="s">
        <v>978</v>
      </c>
      <c r="I349" s="14">
        <v>45279</v>
      </c>
    </row>
    <row r="350" spans="1:9" x14ac:dyDescent="0.15">
      <c r="A350" s="5">
        <v>349</v>
      </c>
      <c r="B350" s="6" t="s">
        <v>9</v>
      </c>
      <c r="C350" s="7">
        <v>1882</v>
      </c>
      <c r="D350" s="8">
        <v>45388</v>
      </c>
      <c r="E350" s="9" t="str">
        <f>+HYPERLINK("http://trademark.i-assist.jp/data/china/image_1882th/75878679.pdf","75878679")</f>
        <v>75878679</v>
      </c>
      <c r="F350" s="6" t="s">
        <v>979</v>
      </c>
      <c r="G350" s="6" t="s">
        <v>980</v>
      </c>
      <c r="H350" s="8" t="s">
        <v>981</v>
      </c>
      <c r="I350" s="14">
        <v>45279</v>
      </c>
    </row>
    <row r="351" spans="1:9" x14ac:dyDescent="0.15">
      <c r="A351" s="5">
        <v>350</v>
      </c>
      <c r="B351" s="6" t="s">
        <v>9</v>
      </c>
      <c r="C351" s="7">
        <v>1882</v>
      </c>
      <c r="D351" s="8">
        <v>45388</v>
      </c>
      <c r="E351" s="9" t="str">
        <f>+HYPERLINK("http://trademark.i-assist.jp/data/china/image_1882th/75879785.pdf","75879785")</f>
        <v>75879785</v>
      </c>
      <c r="F351" s="6" t="s">
        <v>982</v>
      </c>
      <c r="G351" s="6" t="s">
        <v>983</v>
      </c>
      <c r="H351" s="8" t="s">
        <v>984</v>
      </c>
      <c r="I351" s="14">
        <v>45279</v>
      </c>
    </row>
    <row r="352" spans="1:9" x14ac:dyDescent="0.15">
      <c r="A352" s="5">
        <v>351</v>
      </c>
      <c r="B352" s="6" t="s">
        <v>9</v>
      </c>
      <c r="C352" s="7">
        <v>1882</v>
      </c>
      <c r="D352" s="8">
        <v>45388</v>
      </c>
      <c r="E352" s="9" t="str">
        <f>+HYPERLINK("http://trademark.i-assist.jp/data/china/image_1882th/75880674.pdf","75880674")</f>
        <v>75880674</v>
      </c>
      <c r="F352" s="6" t="s">
        <v>26</v>
      </c>
      <c r="G352" s="6" t="s">
        <v>985</v>
      </c>
      <c r="H352" s="8" t="s">
        <v>986</v>
      </c>
      <c r="I352" s="14">
        <v>45279</v>
      </c>
    </row>
    <row r="353" spans="1:9" x14ac:dyDescent="0.15">
      <c r="A353" s="5">
        <v>352</v>
      </c>
      <c r="B353" s="6" t="s">
        <v>9</v>
      </c>
      <c r="C353" s="7">
        <v>1882</v>
      </c>
      <c r="D353" s="8">
        <v>45388</v>
      </c>
      <c r="E353" s="9" t="str">
        <f>+HYPERLINK("http://trademark.i-assist.jp/data/china/image_1882th/75881156.pdf","75881156")</f>
        <v>75881156</v>
      </c>
      <c r="F353" s="6" t="s">
        <v>987</v>
      </c>
      <c r="G353" s="6" t="s">
        <v>988</v>
      </c>
      <c r="H353" s="8" t="s">
        <v>989</v>
      </c>
      <c r="I353" s="14">
        <v>45279</v>
      </c>
    </row>
    <row r="354" spans="1:9" x14ac:dyDescent="0.15">
      <c r="A354" s="5">
        <v>353</v>
      </c>
      <c r="B354" s="6" t="s">
        <v>9</v>
      </c>
      <c r="C354" s="7">
        <v>1882</v>
      </c>
      <c r="D354" s="8">
        <v>45388</v>
      </c>
      <c r="E354" s="9" t="str">
        <f>+HYPERLINK("http://trademark.i-assist.jp/data/china/image_1882th/75881806.pdf","75881806")</f>
        <v>75881806</v>
      </c>
      <c r="F354" s="6" t="s">
        <v>990</v>
      </c>
      <c r="G354" s="6" t="s">
        <v>991</v>
      </c>
      <c r="H354" s="8" t="s">
        <v>992</v>
      </c>
      <c r="I354" s="14">
        <v>45279</v>
      </c>
    </row>
    <row r="355" spans="1:9" x14ac:dyDescent="0.15">
      <c r="A355" s="5">
        <v>354</v>
      </c>
      <c r="B355" s="6" t="s">
        <v>9</v>
      </c>
      <c r="C355" s="7">
        <v>1882</v>
      </c>
      <c r="D355" s="8">
        <v>45388</v>
      </c>
      <c r="E355" s="9" t="str">
        <f>+HYPERLINK("http://trademark.i-assist.jp/data/china/image_1882th/75884599.pdf","75884599")</f>
        <v>75884599</v>
      </c>
      <c r="F355" s="6" t="s">
        <v>993</v>
      </c>
      <c r="G355" s="6" t="s">
        <v>994</v>
      </c>
      <c r="H355" s="8" t="s">
        <v>995</v>
      </c>
      <c r="I355" s="14">
        <v>45279</v>
      </c>
    </row>
    <row r="356" spans="1:9" x14ac:dyDescent="0.15">
      <c r="A356" s="5">
        <v>355</v>
      </c>
      <c r="B356" s="6" t="s">
        <v>9</v>
      </c>
      <c r="C356" s="7">
        <v>1882</v>
      </c>
      <c r="D356" s="8">
        <v>45388</v>
      </c>
      <c r="E356" s="9" t="str">
        <f>+HYPERLINK("http://trademark.i-assist.jp/data/china/image_1882th/75884659.pdf","75884659")</f>
        <v>75884659</v>
      </c>
      <c r="F356" s="6" t="s">
        <v>996</v>
      </c>
      <c r="G356" s="6" t="s">
        <v>997</v>
      </c>
      <c r="H356" s="8" t="s">
        <v>998</v>
      </c>
      <c r="I356" s="14">
        <v>45279</v>
      </c>
    </row>
    <row r="357" spans="1:9" x14ac:dyDescent="0.15">
      <c r="A357" s="5">
        <v>356</v>
      </c>
      <c r="B357" s="6" t="s">
        <v>9</v>
      </c>
      <c r="C357" s="7">
        <v>1882</v>
      </c>
      <c r="D357" s="8">
        <v>45388</v>
      </c>
      <c r="E357" s="9" t="str">
        <f>+HYPERLINK("http://trademark.i-assist.jp/data/china/image_1882th/75884799.pdf","75884799")</f>
        <v>75884799</v>
      </c>
      <c r="F357" s="6" t="s">
        <v>999</v>
      </c>
      <c r="G357" s="6" t="s">
        <v>1000</v>
      </c>
      <c r="H357" s="8" t="s">
        <v>1001</v>
      </c>
      <c r="I357" s="14">
        <v>45279</v>
      </c>
    </row>
    <row r="358" spans="1:9" x14ac:dyDescent="0.15">
      <c r="A358" s="5">
        <v>357</v>
      </c>
      <c r="B358" s="6" t="s">
        <v>9</v>
      </c>
      <c r="C358" s="7">
        <v>1882</v>
      </c>
      <c r="D358" s="8">
        <v>45388</v>
      </c>
      <c r="E358" s="9" t="str">
        <f>+HYPERLINK("http://trademark.i-assist.jp/data/china/image_1882th/75884863.pdf","75884863")</f>
        <v>75884863</v>
      </c>
      <c r="F358" s="6" t="s">
        <v>1002</v>
      </c>
      <c r="G358" s="6" t="s">
        <v>1003</v>
      </c>
      <c r="H358" s="8" t="s">
        <v>1004</v>
      </c>
      <c r="I358" s="14">
        <v>45279</v>
      </c>
    </row>
    <row r="359" spans="1:9" x14ac:dyDescent="0.15">
      <c r="A359" s="5">
        <v>358</v>
      </c>
      <c r="B359" s="6" t="s">
        <v>9</v>
      </c>
      <c r="C359" s="7">
        <v>1882</v>
      </c>
      <c r="D359" s="8">
        <v>45388</v>
      </c>
      <c r="E359" s="9" t="str">
        <f>+HYPERLINK("http://trademark.i-assist.jp/data/china/image_1882th/75885425.pdf","75885425")</f>
        <v>75885425</v>
      </c>
      <c r="F359" s="6" t="s">
        <v>1005</v>
      </c>
      <c r="G359" s="6" t="s">
        <v>1006</v>
      </c>
      <c r="H359" s="8" t="s">
        <v>1007</v>
      </c>
      <c r="I359" s="14">
        <v>45279</v>
      </c>
    </row>
    <row r="360" spans="1:9" x14ac:dyDescent="0.15">
      <c r="A360" s="5">
        <v>359</v>
      </c>
      <c r="B360" s="6" t="s">
        <v>9</v>
      </c>
      <c r="C360" s="7">
        <v>1882</v>
      </c>
      <c r="D360" s="8">
        <v>45388</v>
      </c>
      <c r="E360" s="9" t="str">
        <f>+HYPERLINK("http://trademark.i-assist.jp/data/china/image_1882th/75886129.pdf","75886129")</f>
        <v>75886129</v>
      </c>
      <c r="F360" s="6" t="s">
        <v>1008</v>
      </c>
      <c r="G360" s="6" t="s">
        <v>1009</v>
      </c>
      <c r="H360" s="8" t="s">
        <v>1010</v>
      </c>
      <c r="I360" s="14">
        <v>45279</v>
      </c>
    </row>
    <row r="361" spans="1:9" x14ac:dyDescent="0.15">
      <c r="A361" s="5">
        <v>360</v>
      </c>
      <c r="B361" s="6" t="s">
        <v>9</v>
      </c>
      <c r="C361" s="7">
        <v>1882</v>
      </c>
      <c r="D361" s="8">
        <v>45388</v>
      </c>
      <c r="E361" s="9" t="str">
        <f>+HYPERLINK("http://trademark.i-assist.jp/data/china/image_1882th/75887460.pdf","75887460")</f>
        <v>75887460</v>
      </c>
      <c r="F361" s="6" t="s">
        <v>1011</v>
      </c>
      <c r="G361" s="6" t="s">
        <v>1012</v>
      </c>
      <c r="H361" s="8" t="s">
        <v>1013</v>
      </c>
      <c r="I361" s="14">
        <v>45279</v>
      </c>
    </row>
    <row r="362" spans="1:9" x14ac:dyDescent="0.15">
      <c r="A362" s="5">
        <v>361</v>
      </c>
      <c r="B362" s="6" t="s">
        <v>9</v>
      </c>
      <c r="C362" s="7">
        <v>1882</v>
      </c>
      <c r="D362" s="8">
        <v>45388</v>
      </c>
      <c r="E362" s="9" t="str">
        <f>+HYPERLINK("http://trademark.i-assist.jp/data/china/image_1882th/75887893.pdf","75887893")</f>
        <v>75887893</v>
      </c>
      <c r="F362" s="6" t="s">
        <v>1014</v>
      </c>
      <c r="G362" s="6" t="s">
        <v>1015</v>
      </c>
      <c r="H362" s="8" t="s">
        <v>1016</v>
      </c>
      <c r="I362" s="14">
        <v>45279</v>
      </c>
    </row>
    <row r="363" spans="1:9" x14ac:dyDescent="0.15">
      <c r="A363" s="5">
        <v>362</v>
      </c>
      <c r="B363" s="6" t="s">
        <v>9</v>
      </c>
      <c r="C363" s="7">
        <v>1882</v>
      </c>
      <c r="D363" s="8">
        <v>45388</v>
      </c>
      <c r="E363" s="9" t="str">
        <f>+HYPERLINK("http://trademark.i-assist.jp/data/china/image_1882th/75888260.pdf","75888260")</f>
        <v>75888260</v>
      </c>
      <c r="F363" s="6" t="s">
        <v>1017</v>
      </c>
      <c r="G363" s="6" t="s">
        <v>1018</v>
      </c>
      <c r="H363" s="8" t="s">
        <v>1019</v>
      </c>
      <c r="I363" s="14">
        <v>45279</v>
      </c>
    </row>
    <row r="364" spans="1:9" x14ac:dyDescent="0.15">
      <c r="A364" s="5">
        <v>363</v>
      </c>
      <c r="B364" s="6" t="s">
        <v>9</v>
      </c>
      <c r="C364" s="7">
        <v>1882</v>
      </c>
      <c r="D364" s="8">
        <v>45388</v>
      </c>
      <c r="E364" s="9" t="str">
        <f>+HYPERLINK("http://trademark.i-assist.jp/data/china/image_1882th/75888601.pdf","75888601")</f>
        <v>75888601</v>
      </c>
      <c r="F364" s="6" t="s">
        <v>1020</v>
      </c>
      <c r="G364" s="6" t="s">
        <v>1021</v>
      </c>
      <c r="H364" s="8" t="s">
        <v>1022</v>
      </c>
      <c r="I364" s="14">
        <v>45279</v>
      </c>
    </row>
    <row r="365" spans="1:9" x14ac:dyDescent="0.15">
      <c r="A365" s="5">
        <v>364</v>
      </c>
      <c r="B365" s="6" t="s">
        <v>9</v>
      </c>
      <c r="C365" s="7">
        <v>1882</v>
      </c>
      <c r="D365" s="8">
        <v>45388</v>
      </c>
      <c r="E365" s="9" t="str">
        <f>+HYPERLINK("http://trademark.i-assist.jp/data/china/image_1882th/75889434.pdf","75889434")</f>
        <v>75889434</v>
      </c>
      <c r="F365" s="6" t="s">
        <v>1023</v>
      </c>
      <c r="G365" s="6" t="s">
        <v>1024</v>
      </c>
      <c r="H365" s="8" t="s">
        <v>1025</v>
      </c>
      <c r="I365" s="14">
        <v>45279</v>
      </c>
    </row>
    <row r="366" spans="1:9" x14ac:dyDescent="0.15">
      <c r="A366" s="5">
        <v>365</v>
      </c>
      <c r="B366" s="6" t="s">
        <v>9</v>
      </c>
      <c r="C366" s="7">
        <v>1882</v>
      </c>
      <c r="D366" s="8">
        <v>45388</v>
      </c>
      <c r="E366" s="9" t="str">
        <f>+HYPERLINK("http://trademark.i-assist.jp/data/china/image_1882th/75890001.pdf","75890001")</f>
        <v>75890001</v>
      </c>
      <c r="F366" s="6" t="s">
        <v>1026</v>
      </c>
      <c r="G366" s="6" t="s">
        <v>1027</v>
      </c>
      <c r="H366" s="8" t="s">
        <v>1028</v>
      </c>
      <c r="I366" s="14">
        <v>45279</v>
      </c>
    </row>
    <row r="367" spans="1:9" x14ac:dyDescent="0.15">
      <c r="A367" s="5">
        <v>366</v>
      </c>
      <c r="B367" s="6" t="s">
        <v>9</v>
      </c>
      <c r="C367" s="7">
        <v>1882</v>
      </c>
      <c r="D367" s="8">
        <v>45388</v>
      </c>
      <c r="E367" s="9" t="str">
        <f>+HYPERLINK("http://trademark.i-assist.jp/data/china/image_1882th/75890521.pdf","75890521")</f>
        <v>75890521</v>
      </c>
      <c r="F367" s="6" t="s">
        <v>1029</v>
      </c>
      <c r="G367" s="6" t="s">
        <v>966</v>
      </c>
      <c r="H367" s="8" t="s">
        <v>1030</v>
      </c>
      <c r="I367" s="14">
        <v>45279</v>
      </c>
    </row>
    <row r="368" spans="1:9" x14ac:dyDescent="0.15">
      <c r="A368" s="5">
        <v>367</v>
      </c>
      <c r="B368" s="6" t="s">
        <v>9</v>
      </c>
      <c r="C368" s="7">
        <v>1882</v>
      </c>
      <c r="D368" s="8">
        <v>45388</v>
      </c>
      <c r="E368" s="9" t="str">
        <f>+HYPERLINK("http://trademark.i-assist.jp/data/china/image_1882th/75890829.pdf","75890829")</f>
        <v>75890829</v>
      </c>
      <c r="F368" s="6" t="s">
        <v>1031</v>
      </c>
      <c r="G368" s="6" t="s">
        <v>1032</v>
      </c>
      <c r="H368" s="8" t="s">
        <v>1033</v>
      </c>
      <c r="I368" s="14">
        <v>45279</v>
      </c>
    </row>
    <row r="369" spans="1:9" x14ac:dyDescent="0.15">
      <c r="A369" s="5">
        <v>368</v>
      </c>
      <c r="B369" s="6" t="s">
        <v>9</v>
      </c>
      <c r="C369" s="7">
        <v>1882</v>
      </c>
      <c r="D369" s="8">
        <v>45388</v>
      </c>
      <c r="E369" s="9" t="str">
        <f>+HYPERLINK("http://trademark.i-assist.jp/data/china/image_1882th/75891032.pdf","75891032")</f>
        <v>75891032</v>
      </c>
      <c r="F369" s="6" t="s">
        <v>1034</v>
      </c>
      <c r="G369" s="6" t="s">
        <v>1012</v>
      </c>
      <c r="H369" s="8" t="s">
        <v>1035</v>
      </c>
      <c r="I369" s="14">
        <v>45279</v>
      </c>
    </row>
    <row r="370" spans="1:9" x14ac:dyDescent="0.15">
      <c r="A370" s="5">
        <v>369</v>
      </c>
      <c r="B370" s="6" t="s">
        <v>9</v>
      </c>
      <c r="C370" s="7">
        <v>1882</v>
      </c>
      <c r="D370" s="8">
        <v>45388</v>
      </c>
      <c r="E370" s="9" t="str">
        <f>+HYPERLINK("http://trademark.i-assist.jp/data/china/image_1882th/75891043.pdf","75891043")</f>
        <v>75891043</v>
      </c>
      <c r="F370" s="6" t="s">
        <v>1036</v>
      </c>
      <c r="G370" s="6" t="s">
        <v>1037</v>
      </c>
      <c r="H370" s="8" t="s">
        <v>1038</v>
      </c>
      <c r="I370" s="14">
        <v>45279</v>
      </c>
    </row>
    <row r="371" spans="1:9" x14ac:dyDescent="0.15">
      <c r="A371" s="5">
        <v>370</v>
      </c>
      <c r="B371" s="6" t="s">
        <v>9</v>
      </c>
      <c r="C371" s="7">
        <v>1882</v>
      </c>
      <c r="D371" s="8">
        <v>45388</v>
      </c>
      <c r="E371" s="9" t="str">
        <f>+HYPERLINK("http://trademark.i-assist.jp/data/china/image_1882th/75892615.pdf","75892615")</f>
        <v>75892615</v>
      </c>
      <c r="F371" s="6" t="s">
        <v>1039</v>
      </c>
      <c r="G371" s="6" t="s">
        <v>1040</v>
      </c>
      <c r="H371" s="8" t="s">
        <v>1041</v>
      </c>
      <c r="I371" s="14">
        <v>45279</v>
      </c>
    </row>
    <row r="372" spans="1:9" x14ac:dyDescent="0.15">
      <c r="A372" s="5">
        <v>371</v>
      </c>
      <c r="B372" s="6" t="s">
        <v>9</v>
      </c>
      <c r="C372" s="7">
        <v>1882</v>
      </c>
      <c r="D372" s="8">
        <v>45388</v>
      </c>
      <c r="E372" s="9" t="str">
        <f>+HYPERLINK("http://trademark.i-assist.jp/data/china/image_1882th/75894021.pdf","75894021")</f>
        <v>75894021</v>
      </c>
      <c r="F372" s="6" t="s">
        <v>1042</v>
      </c>
      <c r="G372" s="6" t="s">
        <v>1043</v>
      </c>
      <c r="H372" s="8" t="s">
        <v>1044</v>
      </c>
      <c r="I372" s="14">
        <v>45279</v>
      </c>
    </row>
    <row r="373" spans="1:9" x14ac:dyDescent="0.15">
      <c r="A373" s="5">
        <v>372</v>
      </c>
      <c r="B373" s="6" t="s">
        <v>9</v>
      </c>
      <c r="C373" s="7">
        <v>1882</v>
      </c>
      <c r="D373" s="8">
        <v>45388</v>
      </c>
      <c r="E373" s="9" t="str">
        <f>+HYPERLINK("http://trademark.i-assist.jp/data/china/image_1882th/75894096.pdf","75894096")</f>
        <v>75894096</v>
      </c>
      <c r="F373" s="6" t="s">
        <v>1045</v>
      </c>
      <c r="G373" s="6" t="s">
        <v>966</v>
      </c>
      <c r="H373" s="8" t="s">
        <v>1046</v>
      </c>
      <c r="I373" s="14">
        <v>45279</v>
      </c>
    </row>
    <row r="374" spans="1:9" x14ac:dyDescent="0.15">
      <c r="A374" s="5">
        <v>373</v>
      </c>
      <c r="B374" s="6" t="s">
        <v>9</v>
      </c>
      <c r="C374" s="7">
        <v>1882</v>
      </c>
      <c r="D374" s="8">
        <v>45388</v>
      </c>
      <c r="E374" s="9" t="str">
        <f>+HYPERLINK("http://trademark.i-assist.jp/data/china/image_1882th/75894847.pdf","75894847")</f>
        <v>75894847</v>
      </c>
      <c r="F374" s="6" t="s">
        <v>1047</v>
      </c>
      <c r="G374" s="6" t="s">
        <v>1048</v>
      </c>
      <c r="H374" s="8" t="s">
        <v>1049</v>
      </c>
      <c r="I374" s="14">
        <v>45279</v>
      </c>
    </row>
    <row r="375" spans="1:9" x14ac:dyDescent="0.15">
      <c r="A375" s="5">
        <v>374</v>
      </c>
      <c r="B375" s="6" t="s">
        <v>9</v>
      </c>
      <c r="C375" s="7">
        <v>1882</v>
      </c>
      <c r="D375" s="8">
        <v>45388</v>
      </c>
      <c r="E375" s="9" t="str">
        <f>+HYPERLINK("http://trademark.i-assist.jp/data/china/image_1882th/75895070.pdf","75895070")</f>
        <v>75895070</v>
      </c>
      <c r="F375" s="6" t="s">
        <v>1050</v>
      </c>
      <c r="G375" s="6" t="s">
        <v>1051</v>
      </c>
      <c r="H375" s="8" t="s">
        <v>1052</v>
      </c>
      <c r="I375" s="14">
        <v>45279</v>
      </c>
    </row>
    <row r="376" spans="1:9" x14ac:dyDescent="0.15">
      <c r="A376" s="5">
        <v>375</v>
      </c>
      <c r="B376" s="6" t="s">
        <v>9</v>
      </c>
      <c r="C376" s="7">
        <v>1882</v>
      </c>
      <c r="D376" s="8">
        <v>45388</v>
      </c>
      <c r="E376" s="9" t="str">
        <f>+HYPERLINK("http://trademark.i-assist.jp/data/china/image_1882th/75895856.pdf","75895856")</f>
        <v>75895856</v>
      </c>
      <c r="F376" s="6" t="s">
        <v>1053</v>
      </c>
      <c r="G376" s="6" t="s">
        <v>1054</v>
      </c>
      <c r="H376" s="8" t="s">
        <v>10</v>
      </c>
      <c r="I376" s="14">
        <v>45279</v>
      </c>
    </row>
    <row r="377" spans="1:9" x14ac:dyDescent="0.15">
      <c r="A377" s="5">
        <v>376</v>
      </c>
      <c r="B377" s="6" t="s">
        <v>9</v>
      </c>
      <c r="C377" s="7">
        <v>1882</v>
      </c>
      <c r="D377" s="8">
        <v>45388</v>
      </c>
      <c r="E377" s="9" t="str">
        <f>+HYPERLINK("http://trademark.i-assist.jp/data/china/image_1882th/75896163A.pdf","75896163A")</f>
        <v>75896163A</v>
      </c>
      <c r="F377" s="6" t="s">
        <v>1055</v>
      </c>
      <c r="G377" s="6" t="s">
        <v>1056</v>
      </c>
      <c r="H377" s="8" t="s">
        <v>1057</v>
      </c>
      <c r="I377" s="14">
        <v>45279</v>
      </c>
    </row>
    <row r="378" spans="1:9" x14ac:dyDescent="0.15">
      <c r="A378" s="5">
        <v>377</v>
      </c>
      <c r="B378" s="6" t="s">
        <v>9</v>
      </c>
      <c r="C378" s="7">
        <v>1882</v>
      </c>
      <c r="D378" s="8">
        <v>45388</v>
      </c>
      <c r="E378" s="9" t="str">
        <f>+HYPERLINK("http://trademark.i-assist.jp/data/china/image_1882th/75896409.pdf","75896409")</f>
        <v>75896409</v>
      </c>
      <c r="F378" s="6" t="s">
        <v>1058</v>
      </c>
      <c r="G378" s="6" t="s">
        <v>1059</v>
      </c>
      <c r="H378" s="8" t="s">
        <v>1060</v>
      </c>
      <c r="I378" s="14">
        <v>45279</v>
      </c>
    </row>
    <row r="379" spans="1:9" x14ac:dyDescent="0.15">
      <c r="A379" s="5">
        <v>378</v>
      </c>
      <c r="B379" s="6" t="s">
        <v>9</v>
      </c>
      <c r="C379" s="7">
        <v>1882</v>
      </c>
      <c r="D379" s="8">
        <v>45388</v>
      </c>
      <c r="E379" s="9" t="str">
        <f>+HYPERLINK("http://trademark.i-assist.jp/data/china/image_1882th/75897827.pdf","75897827")</f>
        <v>75897827</v>
      </c>
      <c r="F379" s="6" t="s">
        <v>1061</v>
      </c>
      <c r="G379" s="6" t="s">
        <v>1062</v>
      </c>
      <c r="H379" s="8" t="s">
        <v>1063</v>
      </c>
      <c r="I379" s="14">
        <v>45279</v>
      </c>
    </row>
    <row r="380" spans="1:9" x14ac:dyDescent="0.15">
      <c r="A380" s="5">
        <v>379</v>
      </c>
      <c r="B380" s="6" t="s">
        <v>9</v>
      </c>
      <c r="C380" s="7">
        <v>1882</v>
      </c>
      <c r="D380" s="8">
        <v>45388</v>
      </c>
      <c r="E380" s="9" t="str">
        <f>+HYPERLINK("http://trademark.i-assist.jp/data/china/image_1882th/75898133.pdf","75898133")</f>
        <v>75898133</v>
      </c>
      <c r="F380" s="6" t="s">
        <v>1064</v>
      </c>
      <c r="G380" s="6" t="s">
        <v>1065</v>
      </c>
      <c r="H380" s="8" t="s">
        <v>1066</v>
      </c>
      <c r="I380" s="14">
        <v>45279</v>
      </c>
    </row>
    <row r="381" spans="1:9" x14ac:dyDescent="0.15">
      <c r="A381" s="5">
        <v>380</v>
      </c>
      <c r="B381" s="6" t="s">
        <v>9</v>
      </c>
      <c r="C381" s="7">
        <v>1882</v>
      </c>
      <c r="D381" s="8">
        <v>45388</v>
      </c>
      <c r="E381" s="9" t="str">
        <f>+HYPERLINK("http://trademark.i-assist.jp/data/china/image_1882th/75898231.pdf","75898231")</f>
        <v>75898231</v>
      </c>
      <c r="F381" s="6" t="s">
        <v>1067</v>
      </c>
      <c r="G381" s="6" t="s">
        <v>1068</v>
      </c>
      <c r="H381" s="8" t="s">
        <v>1069</v>
      </c>
      <c r="I381" s="14">
        <v>45280</v>
      </c>
    </row>
    <row r="382" spans="1:9" x14ac:dyDescent="0.15">
      <c r="A382" s="5">
        <v>381</v>
      </c>
      <c r="B382" s="6" t="s">
        <v>9</v>
      </c>
      <c r="C382" s="7">
        <v>1882</v>
      </c>
      <c r="D382" s="8">
        <v>45388</v>
      </c>
      <c r="E382" s="9" t="str">
        <f>+HYPERLINK("http://trademark.i-assist.jp/data/china/image_1882th/75900079.pdf","75900079")</f>
        <v>75900079</v>
      </c>
      <c r="F382" s="6" t="s">
        <v>1070</v>
      </c>
      <c r="G382" s="6" t="s">
        <v>1071</v>
      </c>
      <c r="H382" s="8" t="s">
        <v>1072</v>
      </c>
      <c r="I382" s="14">
        <v>45280</v>
      </c>
    </row>
    <row r="383" spans="1:9" x14ac:dyDescent="0.15">
      <c r="A383" s="5">
        <v>382</v>
      </c>
      <c r="B383" s="6" t="s">
        <v>9</v>
      </c>
      <c r="C383" s="7">
        <v>1882</v>
      </c>
      <c r="D383" s="8">
        <v>45388</v>
      </c>
      <c r="E383" s="9" t="str">
        <f>+HYPERLINK("http://trademark.i-assist.jp/data/china/image_1882th/75900573.pdf","75900573")</f>
        <v>75900573</v>
      </c>
      <c r="F383" s="6" t="s">
        <v>1073</v>
      </c>
      <c r="G383" s="6" t="s">
        <v>1074</v>
      </c>
      <c r="H383" s="8" t="s">
        <v>1075</v>
      </c>
      <c r="I383" s="14">
        <v>45280</v>
      </c>
    </row>
    <row r="384" spans="1:9" x14ac:dyDescent="0.15">
      <c r="A384" s="5">
        <v>383</v>
      </c>
      <c r="B384" s="6" t="s">
        <v>9</v>
      </c>
      <c r="C384" s="7">
        <v>1882</v>
      </c>
      <c r="D384" s="8">
        <v>45388</v>
      </c>
      <c r="E384" s="9" t="str">
        <f>+HYPERLINK("http://trademark.i-assist.jp/data/china/image_1882th/75900995.pdf","75900995")</f>
        <v>75900995</v>
      </c>
      <c r="F384" s="6" t="s">
        <v>1076</v>
      </c>
      <c r="G384" s="6" t="s">
        <v>1077</v>
      </c>
      <c r="H384" s="8" t="s">
        <v>110</v>
      </c>
      <c r="I384" s="14">
        <v>45280</v>
      </c>
    </row>
    <row r="385" spans="1:9" x14ac:dyDescent="0.15">
      <c r="A385" s="5">
        <v>384</v>
      </c>
      <c r="B385" s="6" t="s">
        <v>9</v>
      </c>
      <c r="C385" s="7">
        <v>1882</v>
      </c>
      <c r="D385" s="8">
        <v>45388</v>
      </c>
      <c r="E385" s="9" t="str">
        <f>+HYPERLINK("http://trademark.i-assist.jp/data/china/image_1882th/75901181.pdf","75901181")</f>
        <v>75901181</v>
      </c>
      <c r="F385" s="6" t="s">
        <v>1078</v>
      </c>
      <c r="G385" s="6" t="s">
        <v>1079</v>
      </c>
      <c r="H385" s="8" t="s">
        <v>1080</v>
      </c>
      <c r="I385" s="14">
        <v>45280</v>
      </c>
    </row>
    <row r="386" spans="1:9" x14ac:dyDescent="0.15">
      <c r="A386" s="5">
        <v>385</v>
      </c>
      <c r="B386" s="6" t="s">
        <v>9</v>
      </c>
      <c r="C386" s="7">
        <v>1882</v>
      </c>
      <c r="D386" s="8">
        <v>45388</v>
      </c>
      <c r="E386" s="9" t="str">
        <f>+HYPERLINK("http://trademark.i-assist.jp/data/china/image_1882th/75902328.pdf","75902328")</f>
        <v>75902328</v>
      </c>
      <c r="F386" s="6" t="s">
        <v>1081</v>
      </c>
      <c r="G386" s="6" t="s">
        <v>1082</v>
      </c>
      <c r="H386" s="8" t="s">
        <v>1083</v>
      </c>
      <c r="I386" s="14">
        <v>45280</v>
      </c>
    </row>
    <row r="387" spans="1:9" x14ac:dyDescent="0.15">
      <c r="A387" s="5">
        <v>386</v>
      </c>
      <c r="B387" s="6" t="s">
        <v>9</v>
      </c>
      <c r="C387" s="7">
        <v>1882</v>
      </c>
      <c r="D387" s="8">
        <v>45388</v>
      </c>
      <c r="E387" s="9" t="str">
        <f>+HYPERLINK("http://trademark.i-assist.jp/data/china/image_1882th/75903411.pdf","75903411")</f>
        <v>75903411</v>
      </c>
      <c r="F387" s="6" t="s">
        <v>1084</v>
      </c>
      <c r="G387" s="6" t="s">
        <v>1085</v>
      </c>
      <c r="H387" s="8" t="s">
        <v>1086</v>
      </c>
      <c r="I387" s="14">
        <v>45280</v>
      </c>
    </row>
    <row r="388" spans="1:9" x14ac:dyDescent="0.15">
      <c r="A388" s="5">
        <v>387</v>
      </c>
      <c r="B388" s="6" t="s">
        <v>9</v>
      </c>
      <c r="C388" s="7">
        <v>1882</v>
      </c>
      <c r="D388" s="8">
        <v>45388</v>
      </c>
      <c r="E388" s="9" t="str">
        <f>+HYPERLINK("http://trademark.i-assist.jp/data/china/image_1882th/75906992.pdf","75906992")</f>
        <v>75906992</v>
      </c>
      <c r="F388" s="6" t="s">
        <v>1087</v>
      </c>
      <c r="G388" s="6" t="s">
        <v>1088</v>
      </c>
      <c r="H388" s="8" t="s">
        <v>1089</v>
      </c>
      <c r="I388" s="14">
        <v>45280</v>
      </c>
    </row>
    <row r="389" spans="1:9" x14ac:dyDescent="0.15">
      <c r="A389" s="5">
        <v>388</v>
      </c>
      <c r="B389" s="6" t="s">
        <v>9</v>
      </c>
      <c r="C389" s="7">
        <v>1882</v>
      </c>
      <c r="D389" s="8">
        <v>45388</v>
      </c>
      <c r="E389" s="9" t="str">
        <f>+HYPERLINK("http://trademark.i-assist.jp/data/china/image_1882th/75907067.pdf","75907067")</f>
        <v>75907067</v>
      </c>
      <c r="F389" s="6" t="s">
        <v>1090</v>
      </c>
      <c r="G389" s="6" t="s">
        <v>1091</v>
      </c>
      <c r="H389" s="8" t="s">
        <v>1092</v>
      </c>
      <c r="I389" s="14">
        <v>45280</v>
      </c>
    </row>
    <row r="390" spans="1:9" x14ac:dyDescent="0.15">
      <c r="A390" s="5">
        <v>389</v>
      </c>
      <c r="B390" s="6" t="s">
        <v>9</v>
      </c>
      <c r="C390" s="7">
        <v>1882</v>
      </c>
      <c r="D390" s="8">
        <v>45388</v>
      </c>
      <c r="E390" s="9" t="str">
        <f>+HYPERLINK("http://trademark.i-assist.jp/data/china/image_1882th/75907240.pdf","75907240")</f>
        <v>75907240</v>
      </c>
      <c r="F390" s="6" t="s">
        <v>1093</v>
      </c>
      <c r="G390" s="6" t="s">
        <v>1094</v>
      </c>
      <c r="H390" s="8" t="s">
        <v>1095</v>
      </c>
      <c r="I390" s="14">
        <v>45280</v>
      </c>
    </row>
    <row r="391" spans="1:9" x14ac:dyDescent="0.15">
      <c r="A391" s="5">
        <v>390</v>
      </c>
      <c r="B391" s="6" t="s">
        <v>9</v>
      </c>
      <c r="C391" s="7">
        <v>1882</v>
      </c>
      <c r="D391" s="8">
        <v>45388</v>
      </c>
      <c r="E391" s="9" t="str">
        <f>+HYPERLINK("http://trademark.i-assist.jp/data/china/image_1882th/75907813.pdf","75907813")</f>
        <v>75907813</v>
      </c>
      <c r="F391" s="6" t="s">
        <v>1096</v>
      </c>
      <c r="G391" s="6" t="s">
        <v>1097</v>
      </c>
      <c r="H391" s="8" t="s">
        <v>1098</v>
      </c>
      <c r="I391" s="14">
        <v>45280</v>
      </c>
    </row>
    <row r="392" spans="1:9" x14ac:dyDescent="0.15">
      <c r="A392" s="5">
        <v>391</v>
      </c>
      <c r="B392" s="6" t="s">
        <v>9</v>
      </c>
      <c r="C392" s="7">
        <v>1882</v>
      </c>
      <c r="D392" s="8">
        <v>45388</v>
      </c>
      <c r="E392" s="9" t="str">
        <f>+HYPERLINK("http://trademark.i-assist.jp/data/china/image_1882th/75908041.pdf","75908041")</f>
        <v>75908041</v>
      </c>
      <c r="F392" s="6" t="s">
        <v>1099</v>
      </c>
      <c r="G392" s="6" t="s">
        <v>1100</v>
      </c>
      <c r="H392" s="8" t="s">
        <v>1101</v>
      </c>
      <c r="I392" s="14">
        <v>45280</v>
      </c>
    </row>
    <row r="393" spans="1:9" x14ac:dyDescent="0.15">
      <c r="A393" s="5">
        <v>392</v>
      </c>
      <c r="B393" s="6" t="s">
        <v>9</v>
      </c>
      <c r="C393" s="7">
        <v>1882</v>
      </c>
      <c r="D393" s="8">
        <v>45388</v>
      </c>
      <c r="E393" s="9" t="str">
        <f>+HYPERLINK("http://trademark.i-assist.jp/data/china/image_1882th/75909448.pdf","75909448")</f>
        <v>75909448</v>
      </c>
      <c r="F393" s="6" t="s">
        <v>1102</v>
      </c>
      <c r="G393" s="6" t="s">
        <v>1103</v>
      </c>
      <c r="H393" s="8" t="s">
        <v>1104</v>
      </c>
      <c r="I393" s="14">
        <v>45280</v>
      </c>
    </row>
    <row r="394" spans="1:9" x14ac:dyDescent="0.15">
      <c r="A394" s="5">
        <v>393</v>
      </c>
      <c r="B394" s="6" t="s">
        <v>9</v>
      </c>
      <c r="C394" s="7">
        <v>1882</v>
      </c>
      <c r="D394" s="8">
        <v>45388</v>
      </c>
      <c r="E394" s="9" t="str">
        <f>+HYPERLINK("http://trademark.i-assist.jp/data/china/image_1882th/75911446.pdf","75911446")</f>
        <v>75911446</v>
      </c>
      <c r="F394" s="6" t="s">
        <v>1105</v>
      </c>
      <c r="G394" s="6" t="s">
        <v>1106</v>
      </c>
      <c r="H394" s="8" t="s">
        <v>1107</v>
      </c>
      <c r="I394" s="14">
        <v>45280</v>
      </c>
    </row>
    <row r="395" spans="1:9" x14ac:dyDescent="0.15">
      <c r="A395" s="5">
        <v>394</v>
      </c>
      <c r="B395" s="6" t="s">
        <v>9</v>
      </c>
      <c r="C395" s="7">
        <v>1882</v>
      </c>
      <c r="D395" s="8">
        <v>45388</v>
      </c>
      <c r="E395" s="9" t="str">
        <f>+HYPERLINK("http://trademark.i-assist.jp/data/china/image_1882th/75913357.pdf","75913357")</f>
        <v>75913357</v>
      </c>
      <c r="F395" s="6" t="s">
        <v>1108</v>
      </c>
      <c r="G395" s="6" t="s">
        <v>1097</v>
      </c>
      <c r="H395" s="8" t="s">
        <v>1109</v>
      </c>
      <c r="I395" s="14">
        <v>45280</v>
      </c>
    </row>
    <row r="396" spans="1:9" x14ac:dyDescent="0.15">
      <c r="A396" s="5">
        <v>395</v>
      </c>
      <c r="B396" s="6" t="s">
        <v>9</v>
      </c>
      <c r="C396" s="7">
        <v>1882</v>
      </c>
      <c r="D396" s="8">
        <v>45388</v>
      </c>
      <c r="E396" s="9" t="str">
        <f>+HYPERLINK("http://trademark.i-assist.jp/data/china/image_1882th/75913762.pdf","75913762")</f>
        <v>75913762</v>
      </c>
      <c r="F396" s="6" t="s">
        <v>1110</v>
      </c>
      <c r="G396" s="6" t="s">
        <v>1111</v>
      </c>
      <c r="H396" s="8" t="s">
        <v>1112</v>
      </c>
      <c r="I396" s="14">
        <v>45280</v>
      </c>
    </row>
    <row r="397" spans="1:9" x14ac:dyDescent="0.15">
      <c r="A397" s="5">
        <v>396</v>
      </c>
      <c r="B397" s="6" t="s">
        <v>9</v>
      </c>
      <c r="C397" s="7">
        <v>1882</v>
      </c>
      <c r="D397" s="8">
        <v>45388</v>
      </c>
      <c r="E397" s="9" t="str">
        <f>+HYPERLINK("http://trademark.i-assist.jp/data/china/image_1882th/75915477.pdf","75915477")</f>
        <v>75915477</v>
      </c>
      <c r="F397" s="6" t="s">
        <v>1113</v>
      </c>
      <c r="G397" s="6" t="s">
        <v>1114</v>
      </c>
      <c r="H397" s="8" t="s">
        <v>1115</v>
      </c>
      <c r="I397" s="14">
        <v>45280</v>
      </c>
    </row>
    <row r="398" spans="1:9" x14ac:dyDescent="0.15">
      <c r="A398" s="5">
        <v>397</v>
      </c>
      <c r="B398" s="6" t="s">
        <v>9</v>
      </c>
      <c r="C398" s="7">
        <v>1882</v>
      </c>
      <c r="D398" s="8">
        <v>45388</v>
      </c>
      <c r="E398" s="9" t="str">
        <f>+HYPERLINK("http://trademark.i-assist.jp/data/china/image_1882th/75915532.pdf","75915532")</f>
        <v>75915532</v>
      </c>
      <c r="F398" s="6" t="s">
        <v>1116</v>
      </c>
      <c r="G398" s="6" t="s">
        <v>1117</v>
      </c>
      <c r="H398" s="8" t="s">
        <v>1118</v>
      </c>
      <c r="I398" s="14">
        <v>45280</v>
      </c>
    </row>
    <row r="399" spans="1:9" x14ac:dyDescent="0.15">
      <c r="A399" s="5">
        <v>398</v>
      </c>
      <c r="B399" s="6" t="s">
        <v>9</v>
      </c>
      <c r="C399" s="7">
        <v>1882</v>
      </c>
      <c r="D399" s="8">
        <v>45388</v>
      </c>
      <c r="E399" s="9" t="str">
        <f>+HYPERLINK("http://trademark.i-assist.jp/data/china/image_1882th/75916071.pdf","75916071")</f>
        <v>75916071</v>
      </c>
      <c r="F399" s="6" t="s">
        <v>1119</v>
      </c>
      <c r="G399" s="6" t="s">
        <v>1120</v>
      </c>
      <c r="H399" s="8" t="s">
        <v>1121</v>
      </c>
      <c r="I399" s="14">
        <v>45280</v>
      </c>
    </row>
    <row r="400" spans="1:9" x14ac:dyDescent="0.15">
      <c r="A400" s="5">
        <v>399</v>
      </c>
      <c r="B400" s="6" t="s">
        <v>9</v>
      </c>
      <c r="C400" s="7">
        <v>1882</v>
      </c>
      <c r="D400" s="8">
        <v>45388</v>
      </c>
      <c r="E400" s="9" t="str">
        <f>+HYPERLINK("http://trademark.i-assist.jp/data/china/image_1882th/75916181.pdf","75916181")</f>
        <v>75916181</v>
      </c>
      <c r="F400" s="6" t="s">
        <v>1122</v>
      </c>
      <c r="G400" s="6" t="s">
        <v>1123</v>
      </c>
      <c r="H400" s="8" t="s">
        <v>1124</v>
      </c>
      <c r="I400" s="14">
        <v>45280</v>
      </c>
    </row>
    <row r="401" spans="1:9" x14ac:dyDescent="0.15">
      <c r="A401" s="5">
        <v>400</v>
      </c>
      <c r="B401" s="6" t="s">
        <v>9</v>
      </c>
      <c r="C401" s="7">
        <v>1882</v>
      </c>
      <c r="D401" s="8">
        <v>45388</v>
      </c>
      <c r="E401" s="9" t="str">
        <f>+HYPERLINK("http://trademark.i-assist.jp/data/china/image_1882th/75918859.pdf","75918859")</f>
        <v>75918859</v>
      </c>
      <c r="F401" s="6" t="s">
        <v>1125</v>
      </c>
      <c r="G401" s="6" t="s">
        <v>1106</v>
      </c>
      <c r="H401" s="8" t="s">
        <v>1126</v>
      </c>
      <c r="I401" s="14">
        <v>45280</v>
      </c>
    </row>
    <row r="402" spans="1:9" x14ac:dyDescent="0.15">
      <c r="A402" s="5">
        <v>401</v>
      </c>
      <c r="B402" s="6" t="s">
        <v>9</v>
      </c>
      <c r="C402" s="7">
        <v>1882</v>
      </c>
      <c r="D402" s="8">
        <v>45388</v>
      </c>
      <c r="E402" s="9" t="str">
        <f>+HYPERLINK("http://trademark.i-assist.jp/data/china/image_1882th/75919188.pdf","75919188")</f>
        <v>75919188</v>
      </c>
      <c r="F402" s="6" t="s">
        <v>1127</v>
      </c>
      <c r="G402" s="6" t="s">
        <v>1128</v>
      </c>
      <c r="H402" s="8" t="s">
        <v>1129</v>
      </c>
      <c r="I402" s="14">
        <v>45280</v>
      </c>
    </row>
    <row r="403" spans="1:9" x14ac:dyDescent="0.15">
      <c r="A403" s="5">
        <v>402</v>
      </c>
      <c r="B403" s="6" t="s">
        <v>9</v>
      </c>
      <c r="C403" s="7">
        <v>1882</v>
      </c>
      <c r="D403" s="8">
        <v>45388</v>
      </c>
      <c r="E403" s="9" t="str">
        <f>+HYPERLINK("http://trademark.i-assist.jp/data/china/image_1882th/75920568.pdf","75920568")</f>
        <v>75920568</v>
      </c>
      <c r="F403" s="6" t="s">
        <v>1130</v>
      </c>
      <c r="G403" s="6" t="s">
        <v>1131</v>
      </c>
      <c r="H403" s="8" t="s">
        <v>1132</v>
      </c>
      <c r="I403" s="14">
        <v>45280</v>
      </c>
    </row>
    <row r="404" spans="1:9" x14ac:dyDescent="0.15">
      <c r="A404" s="5">
        <v>403</v>
      </c>
      <c r="B404" s="6" t="s">
        <v>9</v>
      </c>
      <c r="C404" s="7">
        <v>1882</v>
      </c>
      <c r="D404" s="8">
        <v>45388</v>
      </c>
      <c r="E404" s="9" t="str">
        <f>+HYPERLINK("http://trademark.i-assist.jp/data/china/image_1882th/75921541.pdf","75921541")</f>
        <v>75921541</v>
      </c>
      <c r="F404" s="6" t="s">
        <v>1133</v>
      </c>
      <c r="G404" s="6" t="s">
        <v>1134</v>
      </c>
      <c r="H404" s="8" t="s">
        <v>1135</v>
      </c>
      <c r="I404" s="14">
        <v>45280</v>
      </c>
    </row>
    <row r="405" spans="1:9" x14ac:dyDescent="0.15">
      <c r="A405" s="5">
        <v>404</v>
      </c>
      <c r="B405" s="6" t="s">
        <v>9</v>
      </c>
      <c r="C405" s="7">
        <v>1882</v>
      </c>
      <c r="D405" s="8">
        <v>45388</v>
      </c>
      <c r="E405" s="9" t="str">
        <f>+HYPERLINK("http://trademark.i-assist.jp/data/china/image_1882th/75926270.pdf","75926270")</f>
        <v>75926270</v>
      </c>
      <c r="F405" s="6" t="s">
        <v>1136</v>
      </c>
      <c r="G405" s="6" t="s">
        <v>1137</v>
      </c>
      <c r="H405" s="8" t="s">
        <v>1138</v>
      </c>
      <c r="I405" s="14">
        <v>45281</v>
      </c>
    </row>
    <row r="406" spans="1:9" x14ac:dyDescent="0.15">
      <c r="A406" s="5">
        <v>405</v>
      </c>
      <c r="B406" s="6" t="s">
        <v>9</v>
      </c>
      <c r="C406" s="7">
        <v>1882</v>
      </c>
      <c r="D406" s="8">
        <v>45388</v>
      </c>
      <c r="E406" s="9" t="str">
        <f>+HYPERLINK("http://trademark.i-assist.jp/data/china/image_1882th/75927218.pdf","75927218")</f>
        <v>75927218</v>
      </c>
      <c r="F406" s="6" t="s">
        <v>1139</v>
      </c>
      <c r="G406" s="6" t="s">
        <v>1140</v>
      </c>
      <c r="H406" s="8" t="s">
        <v>1141</v>
      </c>
      <c r="I406" s="14">
        <v>45281</v>
      </c>
    </row>
    <row r="407" spans="1:9" x14ac:dyDescent="0.15">
      <c r="A407" s="5">
        <v>406</v>
      </c>
      <c r="B407" s="6" t="s">
        <v>9</v>
      </c>
      <c r="C407" s="7">
        <v>1882</v>
      </c>
      <c r="D407" s="8">
        <v>45388</v>
      </c>
      <c r="E407" s="9" t="str">
        <f>+HYPERLINK("http://trademark.i-assist.jp/data/china/image_1882th/75929560.pdf","75929560")</f>
        <v>75929560</v>
      </c>
      <c r="F407" s="6" t="s">
        <v>1142</v>
      </c>
      <c r="G407" s="6" t="s">
        <v>1143</v>
      </c>
      <c r="H407" s="8" t="s">
        <v>1144</v>
      </c>
      <c r="I407" s="14">
        <v>45281</v>
      </c>
    </row>
    <row r="408" spans="1:9" x14ac:dyDescent="0.15">
      <c r="A408" s="5">
        <v>407</v>
      </c>
      <c r="B408" s="6" t="s">
        <v>9</v>
      </c>
      <c r="C408" s="7">
        <v>1882</v>
      </c>
      <c r="D408" s="8">
        <v>45388</v>
      </c>
      <c r="E408" s="9" t="str">
        <f>+HYPERLINK("http://trademark.i-assist.jp/data/china/image_1882th/75930237.pdf","75930237")</f>
        <v>75930237</v>
      </c>
      <c r="F408" s="6" t="s">
        <v>1145</v>
      </c>
      <c r="G408" s="6" t="s">
        <v>1146</v>
      </c>
      <c r="H408" s="8" t="s">
        <v>1147</v>
      </c>
      <c r="I408" s="14">
        <v>45281</v>
      </c>
    </row>
    <row r="409" spans="1:9" x14ac:dyDescent="0.15">
      <c r="A409" s="5">
        <v>408</v>
      </c>
      <c r="B409" s="6" t="s">
        <v>9</v>
      </c>
      <c r="C409" s="7">
        <v>1882</v>
      </c>
      <c r="D409" s="8">
        <v>45388</v>
      </c>
      <c r="E409" s="9" t="str">
        <f>+HYPERLINK("http://trademark.i-assist.jp/data/china/image_1882th/75932485.pdf","75932485")</f>
        <v>75932485</v>
      </c>
      <c r="F409" s="6" t="s">
        <v>1148</v>
      </c>
      <c r="G409" s="6" t="s">
        <v>1149</v>
      </c>
      <c r="H409" s="8" t="s">
        <v>1150</v>
      </c>
      <c r="I409" s="14">
        <v>45281</v>
      </c>
    </row>
    <row r="410" spans="1:9" x14ac:dyDescent="0.15">
      <c r="A410" s="5">
        <v>409</v>
      </c>
      <c r="B410" s="6" t="s">
        <v>9</v>
      </c>
      <c r="C410" s="7">
        <v>1882</v>
      </c>
      <c r="D410" s="8">
        <v>45388</v>
      </c>
      <c r="E410" s="9" t="str">
        <f>+HYPERLINK("http://trademark.i-assist.jp/data/china/image_1882th/75932799.pdf","75932799")</f>
        <v>75932799</v>
      </c>
      <c r="F410" s="6" t="s">
        <v>1151</v>
      </c>
      <c r="G410" s="6" t="s">
        <v>1152</v>
      </c>
      <c r="H410" s="8" t="s">
        <v>1153</v>
      </c>
      <c r="I410" s="14">
        <v>45281</v>
      </c>
    </row>
    <row r="411" spans="1:9" x14ac:dyDescent="0.15">
      <c r="A411" s="5">
        <v>410</v>
      </c>
      <c r="B411" s="6" t="s">
        <v>9</v>
      </c>
      <c r="C411" s="7">
        <v>1882</v>
      </c>
      <c r="D411" s="8">
        <v>45388</v>
      </c>
      <c r="E411" s="9" t="str">
        <f>+HYPERLINK("http://trademark.i-assist.jp/data/china/image_1882th/75934169.pdf","75934169")</f>
        <v>75934169</v>
      </c>
      <c r="F411" s="6" t="s">
        <v>1154</v>
      </c>
      <c r="G411" s="6" t="s">
        <v>1155</v>
      </c>
      <c r="H411" s="8" t="s">
        <v>1156</v>
      </c>
      <c r="I411" s="14">
        <v>45281</v>
      </c>
    </row>
    <row r="412" spans="1:9" x14ac:dyDescent="0.15">
      <c r="A412" s="5">
        <v>411</v>
      </c>
      <c r="B412" s="6" t="s">
        <v>9</v>
      </c>
      <c r="C412" s="7">
        <v>1882</v>
      </c>
      <c r="D412" s="8">
        <v>45388</v>
      </c>
      <c r="E412" s="9" t="str">
        <f>+HYPERLINK("http://trademark.i-assist.jp/data/china/image_1882th/75935084.pdf","75935084")</f>
        <v>75935084</v>
      </c>
      <c r="F412" s="6" t="s">
        <v>26</v>
      </c>
      <c r="G412" s="6" t="s">
        <v>1157</v>
      </c>
      <c r="H412" s="8" t="s">
        <v>1158</v>
      </c>
      <c r="I412" s="14">
        <v>45281</v>
      </c>
    </row>
    <row r="413" spans="1:9" x14ac:dyDescent="0.15">
      <c r="A413" s="5">
        <v>412</v>
      </c>
      <c r="B413" s="6" t="s">
        <v>9</v>
      </c>
      <c r="C413" s="7">
        <v>1882</v>
      </c>
      <c r="D413" s="8">
        <v>45388</v>
      </c>
      <c r="E413" s="9" t="str">
        <f>+HYPERLINK("http://trademark.i-assist.jp/data/china/image_1882th/75937408.pdf","75937408")</f>
        <v>75937408</v>
      </c>
      <c r="F413" s="6" t="s">
        <v>1159</v>
      </c>
      <c r="G413" s="6" t="s">
        <v>1160</v>
      </c>
      <c r="H413" s="8" t="s">
        <v>1161</v>
      </c>
      <c r="I413" s="14">
        <v>45281</v>
      </c>
    </row>
    <row r="414" spans="1:9" x14ac:dyDescent="0.15">
      <c r="A414" s="5">
        <v>413</v>
      </c>
      <c r="B414" s="6" t="s">
        <v>9</v>
      </c>
      <c r="C414" s="7">
        <v>1882</v>
      </c>
      <c r="D414" s="8">
        <v>45388</v>
      </c>
      <c r="E414" s="9" t="str">
        <f>+HYPERLINK("http://trademark.i-assist.jp/data/china/image_1882th/75937482.pdf","75937482")</f>
        <v>75937482</v>
      </c>
      <c r="F414" s="6" t="s">
        <v>1162</v>
      </c>
      <c r="G414" s="6" t="s">
        <v>1163</v>
      </c>
      <c r="H414" s="8" t="s">
        <v>1164</v>
      </c>
      <c r="I414" s="14">
        <v>45281</v>
      </c>
    </row>
    <row r="415" spans="1:9" x14ac:dyDescent="0.15">
      <c r="A415" s="5">
        <v>414</v>
      </c>
      <c r="B415" s="6" t="s">
        <v>9</v>
      </c>
      <c r="C415" s="7">
        <v>1882</v>
      </c>
      <c r="D415" s="8">
        <v>45388</v>
      </c>
      <c r="E415" s="9" t="str">
        <f>+HYPERLINK("http://trademark.i-assist.jp/data/china/image_1882th/75939215.pdf","75939215")</f>
        <v>75939215</v>
      </c>
      <c r="F415" s="6" t="s">
        <v>1165</v>
      </c>
      <c r="G415" s="6" t="s">
        <v>1166</v>
      </c>
      <c r="H415" s="8" t="s">
        <v>1167</v>
      </c>
      <c r="I415" s="14">
        <v>45281</v>
      </c>
    </row>
    <row r="416" spans="1:9" x14ac:dyDescent="0.15">
      <c r="A416" s="5">
        <v>415</v>
      </c>
      <c r="B416" s="6" t="s">
        <v>9</v>
      </c>
      <c r="C416" s="7">
        <v>1882</v>
      </c>
      <c r="D416" s="8">
        <v>45388</v>
      </c>
      <c r="E416" s="9" t="str">
        <f>+HYPERLINK("http://trademark.i-assist.jp/data/china/image_1882th/75939236.pdf","75939236")</f>
        <v>75939236</v>
      </c>
      <c r="F416" s="6" t="s">
        <v>1168</v>
      </c>
      <c r="G416" s="6" t="s">
        <v>1160</v>
      </c>
      <c r="H416" s="8" t="s">
        <v>1169</v>
      </c>
      <c r="I416" s="14">
        <v>45281</v>
      </c>
    </row>
    <row r="417" spans="1:9" x14ac:dyDescent="0.15">
      <c r="A417" s="5">
        <v>416</v>
      </c>
      <c r="B417" s="6" t="s">
        <v>9</v>
      </c>
      <c r="C417" s="7">
        <v>1882</v>
      </c>
      <c r="D417" s="8">
        <v>45388</v>
      </c>
      <c r="E417" s="9" t="str">
        <f>+HYPERLINK("http://trademark.i-assist.jp/data/china/image_1882th/75941550.pdf","75941550")</f>
        <v>75941550</v>
      </c>
      <c r="F417" s="6" t="s">
        <v>26</v>
      </c>
      <c r="G417" s="6" t="s">
        <v>1157</v>
      </c>
      <c r="H417" s="8" t="s">
        <v>1170</v>
      </c>
      <c r="I417" s="14">
        <v>45281</v>
      </c>
    </row>
    <row r="418" spans="1:9" x14ac:dyDescent="0.15">
      <c r="A418" s="5">
        <v>417</v>
      </c>
      <c r="B418" s="6" t="s">
        <v>9</v>
      </c>
      <c r="C418" s="7">
        <v>1882</v>
      </c>
      <c r="D418" s="8">
        <v>45388</v>
      </c>
      <c r="E418" s="9" t="str">
        <f>+HYPERLINK("http://trademark.i-assist.jp/data/china/image_1882th/75942292.pdf","75942292")</f>
        <v>75942292</v>
      </c>
      <c r="F418" s="6" t="s">
        <v>1171</v>
      </c>
      <c r="G418" s="6" t="s">
        <v>1172</v>
      </c>
      <c r="H418" s="8" t="s">
        <v>1173</v>
      </c>
      <c r="I418" s="14">
        <v>45281</v>
      </c>
    </row>
    <row r="419" spans="1:9" x14ac:dyDescent="0.15">
      <c r="A419" s="5">
        <v>418</v>
      </c>
      <c r="B419" s="6" t="s">
        <v>9</v>
      </c>
      <c r="C419" s="7">
        <v>1882</v>
      </c>
      <c r="D419" s="8">
        <v>45388</v>
      </c>
      <c r="E419" s="9" t="str">
        <f>+HYPERLINK("http://trademark.i-assist.jp/data/china/image_1882th/75943675.pdf","75943675")</f>
        <v>75943675</v>
      </c>
      <c r="F419" s="6" t="s">
        <v>1174</v>
      </c>
      <c r="G419" s="6" t="s">
        <v>1175</v>
      </c>
      <c r="H419" s="8" t="s">
        <v>1176</v>
      </c>
      <c r="I419" s="14">
        <v>45281</v>
      </c>
    </row>
    <row r="420" spans="1:9" x14ac:dyDescent="0.15">
      <c r="A420" s="5">
        <v>419</v>
      </c>
      <c r="B420" s="6" t="s">
        <v>9</v>
      </c>
      <c r="C420" s="7">
        <v>1882</v>
      </c>
      <c r="D420" s="8">
        <v>45388</v>
      </c>
      <c r="E420" s="9" t="str">
        <f>+HYPERLINK("http://trademark.i-assist.jp/data/china/image_1882th/75943870.pdf","75943870")</f>
        <v>75943870</v>
      </c>
      <c r="F420" s="6" t="s">
        <v>1177</v>
      </c>
      <c r="G420" s="6" t="s">
        <v>1178</v>
      </c>
      <c r="H420" s="8" t="s">
        <v>1179</v>
      </c>
      <c r="I420" s="14">
        <v>45281</v>
      </c>
    </row>
    <row r="421" spans="1:9" x14ac:dyDescent="0.15">
      <c r="A421" s="5">
        <v>420</v>
      </c>
      <c r="B421" s="6" t="s">
        <v>9</v>
      </c>
      <c r="C421" s="7">
        <v>1882</v>
      </c>
      <c r="D421" s="8">
        <v>45388</v>
      </c>
      <c r="E421" s="9" t="str">
        <f>+HYPERLINK("http://trademark.i-assist.jp/data/china/image_1882th/75943874.pdf","75943874")</f>
        <v>75943874</v>
      </c>
      <c r="F421" s="6" t="s">
        <v>1180</v>
      </c>
      <c r="G421" s="6" t="s">
        <v>1181</v>
      </c>
      <c r="H421" s="8" t="s">
        <v>1182</v>
      </c>
      <c r="I421" s="14">
        <v>45281</v>
      </c>
    </row>
    <row r="422" spans="1:9" x14ac:dyDescent="0.15">
      <c r="A422" s="5">
        <v>421</v>
      </c>
      <c r="B422" s="6" t="s">
        <v>9</v>
      </c>
      <c r="C422" s="7">
        <v>1882</v>
      </c>
      <c r="D422" s="8">
        <v>45388</v>
      </c>
      <c r="E422" s="9" t="str">
        <f>+HYPERLINK("http://trademark.i-assist.jp/data/china/image_1882th/75945465.pdf","75945465")</f>
        <v>75945465</v>
      </c>
      <c r="F422" s="6" t="s">
        <v>1183</v>
      </c>
      <c r="G422" s="6" t="s">
        <v>1184</v>
      </c>
      <c r="H422" s="8" t="s">
        <v>1185</v>
      </c>
      <c r="I422" s="14">
        <v>45281</v>
      </c>
    </row>
    <row r="423" spans="1:9" x14ac:dyDescent="0.15">
      <c r="A423" s="5">
        <v>422</v>
      </c>
      <c r="B423" s="6" t="s">
        <v>9</v>
      </c>
      <c r="C423" s="7">
        <v>1882</v>
      </c>
      <c r="D423" s="8">
        <v>45388</v>
      </c>
      <c r="E423" s="9" t="str">
        <f>+HYPERLINK("http://trademark.i-assist.jp/data/china/image_1882th/75945851.pdf","75945851")</f>
        <v>75945851</v>
      </c>
      <c r="F423" s="6" t="s">
        <v>1186</v>
      </c>
      <c r="G423" s="6" t="s">
        <v>1187</v>
      </c>
      <c r="H423" s="8" t="s">
        <v>1188</v>
      </c>
      <c r="I423" s="14">
        <v>45281</v>
      </c>
    </row>
    <row r="424" spans="1:9" x14ac:dyDescent="0.15">
      <c r="A424" s="5">
        <v>423</v>
      </c>
      <c r="B424" s="6" t="s">
        <v>9</v>
      </c>
      <c r="C424" s="7">
        <v>1882</v>
      </c>
      <c r="D424" s="8">
        <v>45388</v>
      </c>
      <c r="E424" s="9" t="str">
        <f>+HYPERLINK("http://trademark.i-assist.jp/data/china/image_1882th/75946770.pdf","75946770")</f>
        <v>75946770</v>
      </c>
      <c r="F424" s="6" t="s">
        <v>1189</v>
      </c>
      <c r="G424" s="6" t="s">
        <v>1160</v>
      </c>
      <c r="H424" s="8" t="s">
        <v>1190</v>
      </c>
      <c r="I424" s="14">
        <v>45281</v>
      </c>
    </row>
    <row r="425" spans="1:9" x14ac:dyDescent="0.15">
      <c r="A425" s="5">
        <v>424</v>
      </c>
      <c r="B425" s="6" t="s">
        <v>9</v>
      </c>
      <c r="C425" s="7">
        <v>1882</v>
      </c>
      <c r="D425" s="8">
        <v>45388</v>
      </c>
      <c r="E425" s="9" t="str">
        <f>+HYPERLINK("http://trademark.i-assist.jp/data/china/image_1882th/75947672.pdf","75947672")</f>
        <v>75947672</v>
      </c>
      <c r="F425" s="6" t="s">
        <v>1191</v>
      </c>
      <c r="G425" s="6" t="s">
        <v>1192</v>
      </c>
      <c r="H425" s="8" t="s">
        <v>1193</v>
      </c>
      <c r="I425" s="14">
        <v>45281</v>
      </c>
    </row>
    <row r="426" spans="1:9" x14ac:dyDescent="0.15">
      <c r="A426" s="5">
        <v>425</v>
      </c>
      <c r="B426" s="6" t="s">
        <v>9</v>
      </c>
      <c r="C426" s="7">
        <v>1882</v>
      </c>
      <c r="D426" s="8">
        <v>45388</v>
      </c>
      <c r="E426" s="9" t="str">
        <f>+HYPERLINK("http://trademark.i-assist.jp/data/china/image_1882th/75948079.pdf","75948079")</f>
        <v>75948079</v>
      </c>
      <c r="F426" s="6" t="s">
        <v>26</v>
      </c>
      <c r="G426" s="6" t="s">
        <v>1194</v>
      </c>
      <c r="H426" s="8" t="s">
        <v>1195</v>
      </c>
      <c r="I426" s="14">
        <v>45281</v>
      </c>
    </row>
    <row r="427" spans="1:9" x14ac:dyDescent="0.15">
      <c r="A427" s="5">
        <v>426</v>
      </c>
      <c r="B427" s="6" t="s">
        <v>9</v>
      </c>
      <c r="C427" s="7">
        <v>1882</v>
      </c>
      <c r="D427" s="8">
        <v>45388</v>
      </c>
      <c r="E427" s="9" t="str">
        <f>+HYPERLINK("http://trademark.i-assist.jp/data/china/image_1882th/75948923.pdf","75948923")</f>
        <v>75948923</v>
      </c>
      <c r="F427" s="6" t="s">
        <v>1196</v>
      </c>
      <c r="G427" s="6" t="s">
        <v>1197</v>
      </c>
      <c r="H427" s="8" t="s">
        <v>1198</v>
      </c>
      <c r="I427" s="14">
        <v>45282</v>
      </c>
    </row>
    <row r="428" spans="1:9" x14ac:dyDescent="0.15">
      <c r="A428" s="5">
        <v>427</v>
      </c>
      <c r="B428" s="6" t="s">
        <v>9</v>
      </c>
      <c r="C428" s="7">
        <v>1882</v>
      </c>
      <c r="D428" s="8">
        <v>45388</v>
      </c>
      <c r="E428" s="9" t="str">
        <f>+HYPERLINK("http://trademark.i-assist.jp/data/china/image_1882th/75949258.pdf","75949258")</f>
        <v>75949258</v>
      </c>
      <c r="F428" s="6" t="s">
        <v>1199</v>
      </c>
      <c r="G428" s="6" t="s">
        <v>1200</v>
      </c>
      <c r="H428" s="8" t="s">
        <v>1201</v>
      </c>
      <c r="I428" s="14">
        <v>45282</v>
      </c>
    </row>
    <row r="429" spans="1:9" x14ac:dyDescent="0.15">
      <c r="A429" s="5">
        <v>428</v>
      </c>
      <c r="B429" s="6" t="s">
        <v>9</v>
      </c>
      <c r="C429" s="7">
        <v>1882</v>
      </c>
      <c r="D429" s="8">
        <v>45388</v>
      </c>
      <c r="E429" s="9" t="str">
        <f>+HYPERLINK("http://trademark.i-assist.jp/data/china/image_1882th/75950897.pdf","75950897")</f>
        <v>75950897</v>
      </c>
      <c r="F429" s="6" t="s">
        <v>1202</v>
      </c>
      <c r="G429" s="6" t="s">
        <v>1203</v>
      </c>
      <c r="H429" s="8" t="s">
        <v>1204</v>
      </c>
      <c r="I429" s="14">
        <v>45282</v>
      </c>
    </row>
    <row r="430" spans="1:9" x14ac:dyDescent="0.15">
      <c r="A430" s="5">
        <v>429</v>
      </c>
      <c r="B430" s="6" t="s">
        <v>9</v>
      </c>
      <c r="C430" s="7">
        <v>1882</v>
      </c>
      <c r="D430" s="8">
        <v>45388</v>
      </c>
      <c r="E430" s="9" t="str">
        <f>+HYPERLINK("http://trademark.i-assist.jp/data/china/image_1882th/75951698.pdf","75951698")</f>
        <v>75951698</v>
      </c>
      <c r="F430" s="6" t="s">
        <v>1205</v>
      </c>
      <c r="G430" s="6" t="s">
        <v>1206</v>
      </c>
      <c r="H430" s="8" t="s">
        <v>1207</v>
      </c>
      <c r="I430" s="14">
        <v>45282</v>
      </c>
    </row>
    <row r="431" spans="1:9" x14ac:dyDescent="0.15">
      <c r="A431" s="5">
        <v>430</v>
      </c>
      <c r="B431" s="6" t="s">
        <v>9</v>
      </c>
      <c r="C431" s="7">
        <v>1882</v>
      </c>
      <c r="D431" s="8">
        <v>45388</v>
      </c>
      <c r="E431" s="9" t="str">
        <f>+HYPERLINK("http://trademark.i-assist.jp/data/china/image_1882th/75951851.pdf","75951851")</f>
        <v>75951851</v>
      </c>
      <c r="F431" s="6" t="s">
        <v>1208</v>
      </c>
      <c r="G431" s="6" t="s">
        <v>1209</v>
      </c>
      <c r="H431" s="8" t="s">
        <v>1210</v>
      </c>
      <c r="I431" s="14">
        <v>45282</v>
      </c>
    </row>
    <row r="432" spans="1:9" x14ac:dyDescent="0.15">
      <c r="A432" s="5">
        <v>431</v>
      </c>
      <c r="B432" s="6" t="s">
        <v>9</v>
      </c>
      <c r="C432" s="7">
        <v>1882</v>
      </c>
      <c r="D432" s="8">
        <v>45388</v>
      </c>
      <c r="E432" s="9" t="str">
        <f>+HYPERLINK("http://trademark.i-assist.jp/data/china/image_1882th/75951927.pdf","75951927")</f>
        <v>75951927</v>
      </c>
      <c r="F432" s="6" t="s">
        <v>26</v>
      </c>
      <c r="G432" s="6" t="s">
        <v>1200</v>
      </c>
      <c r="H432" s="8" t="s">
        <v>1211</v>
      </c>
      <c r="I432" s="14">
        <v>45282</v>
      </c>
    </row>
    <row r="433" spans="1:9" x14ac:dyDescent="0.15">
      <c r="A433" s="5">
        <v>432</v>
      </c>
      <c r="B433" s="6" t="s">
        <v>9</v>
      </c>
      <c r="C433" s="7">
        <v>1882</v>
      </c>
      <c r="D433" s="8">
        <v>45388</v>
      </c>
      <c r="E433" s="9" t="str">
        <f>+HYPERLINK("http://trademark.i-assist.jp/data/china/image_1882th/75952501.pdf","75952501")</f>
        <v>75952501</v>
      </c>
      <c r="F433" s="6" t="s">
        <v>1212</v>
      </c>
      <c r="G433" s="6" t="s">
        <v>1213</v>
      </c>
      <c r="H433" s="8" t="s">
        <v>1214</v>
      </c>
      <c r="I433" s="14">
        <v>45282</v>
      </c>
    </row>
    <row r="434" spans="1:9" x14ac:dyDescent="0.15">
      <c r="A434" s="5">
        <v>433</v>
      </c>
      <c r="B434" s="6" t="s">
        <v>9</v>
      </c>
      <c r="C434" s="7">
        <v>1882</v>
      </c>
      <c r="D434" s="8">
        <v>45388</v>
      </c>
      <c r="E434" s="9" t="str">
        <f>+HYPERLINK("http://trademark.i-assist.jp/data/china/image_1882th/75953427.pdf","75953427")</f>
        <v>75953427</v>
      </c>
      <c r="F434" s="6" t="s">
        <v>1215</v>
      </c>
      <c r="G434" s="6" t="s">
        <v>1216</v>
      </c>
      <c r="H434" s="8" t="s">
        <v>1217</v>
      </c>
      <c r="I434" s="14">
        <v>45282</v>
      </c>
    </row>
    <row r="435" spans="1:9" x14ac:dyDescent="0.15">
      <c r="A435" s="5">
        <v>434</v>
      </c>
      <c r="B435" s="6" t="s">
        <v>9</v>
      </c>
      <c r="C435" s="7">
        <v>1882</v>
      </c>
      <c r="D435" s="8">
        <v>45388</v>
      </c>
      <c r="E435" s="9" t="str">
        <f>+HYPERLINK("http://trademark.i-assist.jp/data/china/image_1882th/75953692.pdf","75953692")</f>
        <v>75953692</v>
      </c>
      <c r="F435" s="6" t="s">
        <v>1218</v>
      </c>
      <c r="G435" s="6" t="s">
        <v>1219</v>
      </c>
      <c r="H435" s="8" t="s">
        <v>1220</v>
      </c>
      <c r="I435" s="14">
        <v>45282</v>
      </c>
    </row>
    <row r="436" spans="1:9" x14ac:dyDescent="0.15">
      <c r="A436" s="5">
        <v>435</v>
      </c>
      <c r="B436" s="6" t="s">
        <v>9</v>
      </c>
      <c r="C436" s="7">
        <v>1882</v>
      </c>
      <c r="D436" s="8">
        <v>45388</v>
      </c>
      <c r="E436" s="9" t="str">
        <f>+HYPERLINK("http://trademark.i-assist.jp/data/china/image_1882th/75953706.pdf","75953706")</f>
        <v>75953706</v>
      </c>
      <c r="F436" s="6" t="s">
        <v>1221</v>
      </c>
      <c r="G436" s="6" t="s">
        <v>1222</v>
      </c>
      <c r="H436" s="8" t="s">
        <v>1223</v>
      </c>
      <c r="I436" s="14">
        <v>45282</v>
      </c>
    </row>
    <row r="437" spans="1:9" x14ac:dyDescent="0.15">
      <c r="A437" s="5">
        <v>436</v>
      </c>
      <c r="B437" s="6" t="s">
        <v>9</v>
      </c>
      <c r="C437" s="7">
        <v>1882</v>
      </c>
      <c r="D437" s="8">
        <v>45388</v>
      </c>
      <c r="E437" s="9" t="str">
        <f>+HYPERLINK("http://trademark.i-assist.jp/data/china/image_1882th/75953827.pdf","75953827")</f>
        <v>75953827</v>
      </c>
      <c r="F437" s="6" t="s">
        <v>1224</v>
      </c>
      <c r="G437" s="6" t="s">
        <v>1225</v>
      </c>
      <c r="H437" s="8" t="s">
        <v>1226</v>
      </c>
      <c r="I437" s="14">
        <v>45282</v>
      </c>
    </row>
    <row r="438" spans="1:9" x14ac:dyDescent="0.15">
      <c r="A438" s="5">
        <v>437</v>
      </c>
      <c r="B438" s="6" t="s">
        <v>9</v>
      </c>
      <c r="C438" s="7">
        <v>1882</v>
      </c>
      <c r="D438" s="8">
        <v>45388</v>
      </c>
      <c r="E438" s="9" t="str">
        <f>+HYPERLINK("http://trademark.i-assist.jp/data/china/image_1882th/75953994.pdf","75953994")</f>
        <v>75953994</v>
      </c>
      <c r="F438" s="6" t="s">
        <v>1227</v>
      </c>
      <c r="G438" s="6" t="s">
        <v>1228</v>
      </c>
      <c r="H438" s="8" t="s">
        <v>1229</v>
      </c>
      <c r="I438" s="14">
        <v>45282</v>
      </c>
    </row>
    <row r="439" spans="1:9" x14ac:dyDescent="0.15">
      <c r="A439" s="5">
        <v>438</v>
      </c>
      <c r="B439" s="6" t="s">
        <v>9</v>
      </c>
      <c r="C439" s="7">
        <v>1882</v>
      </c>
      <c r="D439" s="8">
        <v>45388</v>
      </c>
      <c r="E439" s="9" t="str">
        <f>+HYPERLINK("http://trademark.i-assist.jp/data/china/image_1882th/75954479.pdf","75954479")</f>
        <v>75954479</v>
      </c>
      <c r="F439" s="6" t="s">
        <v>1230</v>
      </c>
      <c r="G439" s="6" t="s">
        <v>1231</v>
      </c>
      <c r="H439" s="8" t="s">
        <v>1232</v>
      </c>
      <c r="I439" s="14">
        <v>45282</v>
      </c>
    </row>
    <row r="440" spans="1:9" x14ac:dyDescent="0.15">
      <c r="A440" s="5">
        <v>439</v>
      </c>
      <c r="B440" s="6" t="s">
        <v>9</v>
      </c>
      <c r="C440" s="7">
        <v>1882</v>
      </c>
      <c r="D440" s="8">
        <v>45388</v>
      </c>
      <c r="E440" s="9" t="str">
        <f>+HYPERLINK("http://trademark.i-assist.jp/data/china/image_1882th/75954672.pdf","75954672")</f>
        <v>75954672</v>
      </c>
      <c r="F440" s="6" t="s">
        <v>1233</v>
      </c>
      <c r="G440" s="6" t="s">
        <v>1234</v>
      </c>
      <c r="H440" s="8" t="s">
        <v>10</v>
      </c>
      <c r="I440" s="14">
        <v>45282</v>
      </c>
    </row>
    <row r="441" spans="1:9" x14ac:dyDescent="0.15">
      <c r="A441" s="5">
        <v>440</v>
      </c>
      <c r="B441" s="6" t="s">
        <v>9</v>
      </c>
      <c r="C441" s="7">
        <v>1882</v>
      </c>
      <c r="D441" s="8">
        <v>45388</v>
      </c>
      <c r="E441" s="9" t="str">
        <f>+HYPERLINK("http://trademark.i-assist.jp/data/china/image_1882th/75955064.pdf","75955064")</f>
        <v>75955064</v>
      </c>
      <c r="F441" s="6" t="s">
        <v>1235</v>
      </c>
      <c r="G441" s="6" t="s">
        <v>1236</v>
      </c>
      <c r="H441" s="8" t="s">
        <v>1237</v>
      </c>
      <c r="I441" s="14">
        <v>45282</v>
      </c>
    </row>
    <row r="442" spans="1:9" x14ac:dyDescent="0.15">
      <c r="A442" s="5">
        <v>441</v>
      </c>
      <c r="B442" s="6" t="s">
        <v>9</v>
      </c>
      <c r="C442" s="7">
        <v>1882</v>
      </c>
      <c r="D442" s="8">
        <v>45388</v>
      </c>
      <c r="E442" s="9" t="str">
        <f>+HYPERLINK("http://trademark.i-assist.jp/data/china/image_1882th/75955573.pdf","75955573")</f>
        <v>75955573</v>
      </c>
      <c r="F442" s="6" t="s">
        <v>1238</v>
      </c>
      <c r="G442" s="6" t="s">
        <v>1239</v>
      </c>
      <c r="H442" s="8" t="s">
        <v>1240</v>
      </c>
      <c r="I442" s="14">
        <v>45282</v>
      </c>
    </row>
    <row r="443" spans="1:9" x14ac:dyDescent="0.15">
      <c r="A443" s="5">
        <v>442</v>
      </c>
      <c r="B443" s="6" t="s">
        <v>9</v>
      </c>
      <c r="C443" s="7">
        <v>1882</v>
      </c>
      <c r="D443" s="8">
        <v>45388</v>
      </c>
      <c r="E443" s="9" t="str">
        <f>+HYPERLINK("http://trademark.i-assist.jp/data/china/image_1882th/75955977.pdf","75955977")</f>
        <v>75955977</v>
      </c>
      <c r="F443" s="6" t="s">
        <v>1241</v>
      </c>
      <c r="G443" s="6" t="s">
        <v>1242</v>
      </c>
      <c r="H443" s="8" t="s">
        <v>1243</v>
      </c>
      <c r="I443" s="14">
        <v>45282</v>
      </c>
    </row>
    <row r="444" spans="1:9" x14ac:dyDescent="0.15">
      <c r="A444" s="5">
        <v>443</v>
      </c>
      <c r="B444" s="6" t="s">
        <v>9</v>
      </c>
      <c r="C444" s="7">
        <v>1882</v>
      </c>
      <c r="D444" s="8">
        <v>45388</v>
      </c>
      <c r="E444" s="9" t="str">
        <f>+HYPERLINK("http://trademark.i-assist.jp/data/china/image_1882th/75956076.pdf","75956076")</f>
        <v>75956076</v>
      </c>
      <c r="F444" s="6" t="s">
        <v>1244</v>
      </c>
      <c r="G444" s="6" t="s">
        <v>1245</v>
      </c>
      <c r="H444" s="8" t="s">
        <v>1246</v>
      </c>
      <c r="I444" s="14">
        <v>45282</v>
      </c>
    </row>
    <row r="445" spans="1:9" x14ac:dyDescent="0.15">
      <c r="A445" s="5">
        <v>444</v>
      </c>
      <c r="B445" s="6" t="s">
        <v>9</v>
      </c>
      <c r="C445" s="7">
        <v>1882</v>
      </c>
      <c r="D445" s="8">
        <v>45388</v>
      </c>
      <c r="E445" s="9" t="str">
        <f>+HYPERLINK("http://trademark.i-assist.jp/data/china/image_1882th/75956210.pdf","75956210")</f>
        <v>75956210</v>
      </c>
      <c r="F445" s="6" t="s">
        <v>1247</v>
      </c>
      <c r="G445" s="6" t="s">
        <v>1248</v>
      </c>
      <c r="H445" s="8" t="s">
        <v>1249</v>
      </c>
      <c r="I445" s="14">
        <v>45282</v>
      </c>
    </row>
    <row r="446" spans="1:9" x14ac:dyDescent="0.15">
      <c r="A446" s="5">
        <v>445</v>
      </c>
      <c r="B446" s="6" t="s">
        <v>9</v>
      </c>
      <c r="C446" s="7">
        <v>1882</v>
      </c>
      <c r="D446" s="8">
        <v>45388</v>
      </c>
      <c r="E446" s="9" t="str">
        <f>+HYPERLINK("http://trademark.i-assist.jp/data/china/image_1882th/75956849.pdf","75956849")</f>
        <v>75956849</v>
      </c>
      <c r="F446" s="6" t="s">
        <v>1250</v>
      </c>
      <c r="G446" s="6" t="s">
        <v>1251</v>
      </c>
      <c r="H446" s="8" t="s">
        <v>1252</v>
      </c>
      <c r="I446" s="14">
        <v>45282</v>
      </c>
    </row>
    <row r="447" spans="1:9" x14ac:dyDescent="0.15">
      <c r="A447" s="5">
        <v>446</v>
      </c>
      <c r="B447" s="6" t="s">
        <v>9</v>
      </c>
      <c r="C447" s="7">
        <v>1882</v>
      </c>
      <c r="D447" s="8">
        <v>45388</v>
      </c>
      <c r="E447" s="9" t="str">
        <f>+HYPERLINK("http://trademark.i-assist.jp/data/china/image_1882th/75957348.pdf","75957348")</f>
        <v>75957348</v>
      </c>
      <c r="F447" s="6" t="s">
        <v>1253</v>
      </c>
      <c r="G447" s="6" t="s">
        <v>1254</v>
      </c>
      <c r="H447" s="8" t="s">
        <v>1255</v>
      </c>
      <c r="I447" s="14">
        <v>45282</v>
      </c>
    </row>
    <row r="448" spans="1:9" x14ac:dyDescent="0.15">
      <c r="A448" s="5">
        <v>447</v>
      </c>
      <c r="B448" s="6" t="s">
        <v>9</v>
      </c>
      <c r="C448" s="7">
        <v>1882</v>
      </c>
      <c r="D448" s="8">
        <v>45388</v>
      </c>
      <c r="E448" s="9" t="str">
        <f>+HYPERLINK("http://trademark.i-assist.jp/data/china/image_1882th/75957538.pdf","75957538")</f>
        <v>75957538</v>
      </c>
      <c r="F448" s="6" t="s">
        <v>26</v>
      </c>
      <c r="G448" s="6" t="s">
        <v>1234</v>
      </c>
      <c r="H448" s="8" t="s">
        <v>10</v>
      </c>
      <c r="I448" s="14">
        <v>45282</v>
      </c>
    </row>
    <row r="449" spans="1:9" x14ac:dyDescent="0.15">
      <c r="A449" s="5">
        <v>448</v>
      </c>
      <c r="B449" s="6" t="s">
        <v>9</v>
      </c>
      <c r="C449" s="7">
        <v>1882</v>
      </c>
      <c r="D449" s="8">
        <v>45388</v>
      </c>
      <c r="E449" s="9" t="str">
        <f>+HYPERLINK("http://trademark.i-assist.jp/data/china/image_1882th/75957774.pdf","75957774")</f>
        <v>75957774</v>
      </c>
      <c r="F449" s="6" t="s">
        <v>1256</v>
      </c>
      <c r="G449" s="6" t="s">
        <v>1257</v>
      </c>
      <c r="H449" s="8" t="s">
        <v>1258</v>
      </c>
      <c r="I449" s="14">
        <v>45282</v>
      </c>
    </row>
    <row r="450" spans="1:9" x14ac:dyDescent="0.15">
      <c r="A450" s="5">
        <v>449</v>
      </c>
      <c r="B450" s="6" t="s">
        <v>9</v>
      </c>
      <c r="C450" s="7">
        <v>1882</v>
      </c>
      <c r="D450" s="8">
        <v>45388</v>
      </c>
      <c r="E450" s="9" t="str">
        <f>+HYPERLINK("http://trademark.i-assist.jp/data/china/image_1882th/75959195.pdf","75959195")</f>
        <v>75959195</v>
      </c>
      <c r="F450" s="6" t="s">
        <v>1259</v>
      </c>
      <c r="G450" s="6" t="s">
        <v>1260</v>
      </c>
      <c r="H450" s="8" t="s">
        <v>1261</v>
      </c>
      <c r="I450" s="14">
        <v>45282</v>
      </c>
    </row>
    <row r="451" spans="1:9" x14ac:dyDescent="0.15">
      <c r="A451" s="5">
        <v>450</v>
      </c>
      <c r="B451" s="6" t="s">
        <v>9</v>
      </c>
      <c r="C451" s="7">
        <v>1882</v>
      </c>
      <c r="D451" s="8">
        <v>45388</v>
      </c>
      <c r="E451" s="9" t="str">
        <f>+HYPERLINK("http://trademark.i-assist.jp/data/china/image_1882th/75959626.pdf","75959626")</f>
        <v>75959626</v>
      </c>
      <c r="F451" s="6" t="s">
        <v>1262</v>
      </c>
      <c r="G451" s="6" t="s">
        <v>1263</v>
      </c>
      <c r="H451" s="8" t="s">
        <v>1264</v>
      </c>
      <c r="I451" s="14">
        <v>45282</v>
      </c>
    </row>
    <row r="452" spans="1:9" x14ac:dyDescent="0.15">
      <c r="A452" s="5">
        <v>451</v>
      </c>
      <c r="B452" s="6" t="s">
        <v>9</v>
      </c>
      <c r="C452" s="7">
        <v>1882</v>
      </c>
      <c r="D452" s="8">
        <v>45388</v>
      </c>
      <c r="E452" s="9" t="str">
        <f>+HYPERLINK("http://trademark.i-assist.jp/data/china/image_1882th/75959863.pdf","75959863")</f>
        <v>75959863</v>
      </c>
      <c r="F452" s="6" t="s">
        <v>1265</v>
      </c>
      <c r="G452" s="6" t="s">
        <v>1266</v>
      </c>
      <c r="H452" s="8" t="s">
        <v>1267</v>
      </c>
      <c r="I452" s="14">
        <v>45282</v>
      </c>
    </row>
    <row r="453" spans="1:9" x14ac:dyDescent="0.15">
      <c r="A453" s="5">
        <v>452</v>
      </c>
      <c r="B453" s="6" t="s">
        <v>9</v>
      </c>
      <c r="C453" s="7">
        <v>1882</v>
      </c>
      <c r="D453" s="8">
        <v>45388</v>
      </c>
      <c r="E453" s="9" t="str">
        <f>+HYPERLINK("http://trademark.i-assist.jp/data/china/image_1882th/75959921.pdf","75959921")</f>
        <v>75959921</v>
      </c>
      <c r="F453" s="6" t="s">
        <v>1268</v>
      </c>
      <c r="G453" s="6" t="s">
        <v>1269</v>
      </c>
      <c r="H453" s="8" t="s">
        <v>1270</v>
      </c>
      <c r="I453" s="14">
        <v>45282</v>
      </c>
    </row>
    <row r="454" spans="1:9" x14ac:dyDescent="0.15">
      <c r="A454" s="5">
        <v>453</v>
      </c>
      <c r="B454" s="6" t="s">
        <v>9</v>
      </c>
      <c r="C454" s="7">
        <v>1882</v>
      </c>
      <c r="D454" s="8">
        <v>45388</v>
      </c>
      <c r="E454" s="9" t="str">
        <f>+HYPERLINK("http://trademark.i-assist.jp/data/china/image_1882th/75960030.pdf","75960030")</f>
        <v>75960030</v>
      </c>
      <c r="F454" s="6" t="s">
        <v>1271</v>
      </c>
      <c r="G454" s="6" t="s">
        <v>1272</v>
      </c>
      <c r="H454" s="8" t="s">
        <v>1273</v>
      </c>
      <c r="I454" s="14">
        <v>45282</v>
      </c>
    </row>
    <row r="455" spans="1:9" x14ac:dyDescent="0.15">
      <c r="A455" s="5">
        <v>454</v>
      </c>
      <c r="B455" s="6" t="s">
        <v>9</v>
      </c>
      <c r="C455" s="7">
        <v>1882</v>
      </c>
      <c r="D455" s="8">
        <v>45388</v>
      </c>
      <c r="E455" s="9" t="str">
        <f>+HYPERLINK("http://trademark.i-assist.jp/data/china/image_1882th/75960834.pdf","75960834")</f>
        <v>75960834</v>
      </c>
      <c r="F455" s="6" t="s">
        <v>1274</v>
      </c>
      <c r="G455" s="6" t="s">
        <v>1275</v>
      </c>
      <c r="H455" s="8" t="s">
        <v>1276</v>
      </c>
      <c r="I455" s="14">
        <v>45282</v>
      </c>
    </row>
    <row r="456" spans="1:9" x14ac:dyDescent="0.15">
      <c r="A456" s="5">
        <v>455</v>
      </c>
      <c r="B456" s="6" t="s">
        <v>9</v>
      </c>
      <c r="C456" s="7">
        <v>1882</v>
      </c>
      <c r="D456" s="8">
        <v>45388</v>
      </c>
      <c r="E456" s="9" t="str">
        <f>+HYPERLINK("http://trademark.i-assist.jp/data/china/image_1882th/75960944.pdf","75960944")</f>
        <v>75960944</v>
      </c>
      <c r="F456" s="6" t="s">
        <v>1277</v>
      </c>
      <c r="G456" s="6" t="s">
        <v>1278</v>
      </c>
      <c r="H456" s="8" t="s">
        <v>1279</v>
      </c>
      <c r="I456" s="14">
        <v>45282</v>
      </c>
    </row>
    <row r="457" spans="1:9" x14ac:dyDescent="0.15">
      <c r="A457" s="5">
        <v>456</v>
      </c>
      <c r="B457" s="6" t="s">
        <v>9</v>
      </c>
      <c r="C457" s="7">
        <v>1882</v>
      </c>
      <c r="D457" s="8">
        <v>45388</v>
      </c>
      <c r="E457" s="9" t="str">
        <f>+HYPERLINK("http://trademark.i-assist.jp/data/china/image_1882th/75961041.pdf","75961041")</f>
        <v>75961041</v>
      </c>
      <c r="F457" s="6" t="s">
        <v>1280</v>
      </c>
      <c r="G457" s="6" t="s">
        <v>1281</v>
      </c>
      <c r="H457" s="8" t="s">
        <v>1282</v>
      </c>
      <c r="I457" s="14">
        <v>45282</v>
      </c>
    </row>
    <row r="458" spans="1:9" x14ac:dyDescent="0.15">
      <c r="A458" s="5">
        <v>457</v>
      </c>
      <c r="B458" s="6" t="s">
        <v>9</v>
      </c>
      <c r="C458" s="7">
        <v>1882</v>
      </c>
      <c r="D458" s="8">
        <v>45388</v>
      </c>
      <c r="E458" s="9" t="str">
        <f>+HYPERLINK("http://trademark.i-assist.jp/data/china/image_1882th/75961306.pdf","75961306")</f>
        <v>75961306</v>
      </c>
      <c r="F458" s="6" t="s">
        <v>1283</v>
      </c>
      <c r="G458" s="6" t="s">
        <v>1284</v>
      </c>
      <c r="H458" s="8" t="s">
        <v>1285</v>
      </c>
      <c r="I458" s="14">
        <v>45282</v>
      </c>
    </row>
    <row r="459" spans="1:9" x14ac:dyDescent="0.15">
      <c r="A459" s="5">
        <v>458</v>
      </c>
      <c r="B459" s="6" t="s">
        <v>9</v>
      </c>
      <c r="C459" s="7">
        <v>1882</v>
      </c>
      <c r="D459" s="8">
        <v>45388</v>
      </c>
      <c r="E459" s="9" t="str">
        <f>+HYPERLINK("http://trademark.i-assist.jp/data/china/image_1882th/75961615.pdf","75961615")</f>
        <v>75961615</v>
      </c>
      <c r="F459" s="6" t="s">
        <v>1286</v>
      </c>
      <c r="G459" s="6" t="s">
        <v>1287</v>
      </c>
      <c r="H459" s="8" t="s">
        <v>1288</v>
      </c>
      <c r="I459" s="14">
        <v>45282</v>
      </c>
    </row>
    <row r="460" spans="1:9" x14ac:dyDescent="0.15">
      <c r="A460" s="5">
        <v>459</v>
      </c>
      <c r="B460" s="6" t="s">
        <v>9</v>
      </c>
      <c r="C460" s="7">
        <v>1882</v>
      </c>
      <c r="D460" s="8">
        <v>45388</v>
      </c>
      <c r="E460" s="9" t="str">
        <f>+HYPERLINK("http://trademark.i-assist.jp/data/china/image_1882th/75962101.pdf","75962101")</f>
        <v>75962101</v>
      </c>
      <c r="F460" s="6" t="s">
        <v>1289</v>
      </c>
      <c r="G460" s="6" t="s">
        <v>1290</v>
      </c>
      <c r="H460" s="8" t="s">
        <v>1291</v>
      </c>
      <c r="I460" s="14">
        <v>45282</v>
      </c>
    </row>
    <row r="461" spans="1:9" x14ac:dyDescent="0.15">
      <c r="A461" s="5">
        <v>460</v>
      </c>
      <c r="B461" s="6" t="s">
        <v>9</v>
      </c>
      <c r="C461" s="7">
        <v>1882</v>
      </c>
      <c r="D461" s="8">
        <v>45388</v>
      </c>
      <c r="E461" s="9" t="str">
        <f>+HYPERLINK("http://trademark.i-assist.jp/data/china/image_1882th/75962566.pdf","75962566")</f>
        <v>75962566</v>
      </c>
      <c r="F461" s="6" t="s">
        <v>1292</v>
      </c>
      <c r="G461" s="6" t="s">
        <v>1293</v>
      </c>
      <c r="H461" s="8" t="s">
        <v>1294</v>
      </c>
      <c r="I461" s="14">
        <v>45282</v>
      </c>
    </row>
    <row r="462" spans="1:9" x14ac:dyDescent="0.15">
      <c r="A462" s="5">
        <v>461</v>
      </c>
      <c r="B462" s="6" t="s">
        <v>9</v>
      </c>
      <c r="C462" s="7">
        <v>1882</v>
      </c>
      <c r="D462" s="8">
        <v>45388</v>
      </c>
      <c r="E462" s="9" t="str">
        <f>+HYPERLINK("http://trademark.i-assist.jp/data/china/image_1882th/75963933.pdf","75963933")</f>
        <v>75963933</v>
      </c>
      <c r="F462" s="6" t="s">
        <v>1295</v>
      </c>
      <c r="G462" s="6" t="s">
        <v>1296</v>
      </c>
      <c r="H462" s="8" t="s">
        <v>1297</v>
      </c>
      <c r="I462" s="14">
        <v>45282</v>
      </c>
    </row>
    <row r="463" spans="1:9" x14ac:dyDescent="0.15">
      <c r="A463" s="5">
        <v>462</v>
      </c>
      <c r="B463" s="6" t="s">
        <v>9</v>
      </c>
      <c r="C463" s="7">
        <v>1882</v>
      </c>
      <c r="D463" s="8">
        <v>45388</v>
      </c>
      <c r="E463" s="9" t="str">
        <f>+HYPERLINK("http://trademark.i-assist.jp/data/china/image_1882th/75963957.pdf","75963957")</f>
        <v>75963957</v>
      </c>
      <c r="F463" s="6" t="s">
        <v>1298</v>
      </c>
      <c r="G463" s="6" t="s">
        <v>1299</v>
      </c>
      <c r="H463" s="8" t="s">
        <v>1300</v>
      </c>
      <c r="I463" s="14">
        <v>45282</v>
      </c>
    </row>
    <row r="464" spans="1:9" x14ac:dyDescent="0.15">
      <c r="A464" s="5">
        <v>463</v>
      </c>
      <c r="B464" s="6" t="s">
        <v>9</v>
      </c>
      <c r="C464" s="7">
        <v>1882</v>
      </c>
      <c r="D464" s="8">
        <v>45388</v>
      </c>
      <c r="E464" s="9" t="str">
        <f>+HYPERLINK("http://trademark.i-assist.jp/data/china/image_1882th/75964073.pdf","75964073")</f>
        <v>75964073</v>
      </c>
      <c r="F464" s="6" t="s">
        <v>1301</v>
      </c>
      <c r="G464" s="6" t="s">
        <v>1302</v>
      </c>
      <c r="H464" s="8" t="s">
        <v>1303</v>
      </c>
      <c r="I464" s="14">
        <v>45282</v>
      </c>
    </row>
    <row r="465" spans="1:9" x14ac:dyDescent="0.15">
      <c r="A465" s="5">
        <v>464</v>
      </c>
      <c r="B465" s="6" t="s">
        <v>9</v>
      </c>
      <c r="C465" s="7">
        <v>1882</v>
      </c>
      <c r="D465" s="8">
        <v>45388</v>
      </c>
      <c r="E465" s="9" t="str">
        <f>+HYPERLINK("http://trademark.i-assist.jp/data/china/image_1882th/75964709.pdf","75964709")</f>
        <v>75964709</v>
      </c>
      <c r="F465" s="6" t="s">
        <v>1304</v>
      </c>
      <c r="G465" s="6" t="s">
        <v>1305</v>
      </c>
      <c r="H465" s="8" t="s">
        <v>1306</v>
      </c>
      <c r="I465" s="14">
        <v>45282</v>
      </c>
    </row>
    <row r="466" spans="1:9" x14ac:dyDescent="0.15">
      <c r="A466" s="5">
        <v>465</v>
      </c>
      <c r="B466" s="6" t="s">
        <v>9</v>
      </c>
      <c r="C466" s="7">
        <v>1882</v>
      </c>
      <c r="D466" s="8">
        <v>45388</v>
      </c>
      <c r="E466" s="9" t="str">
        <f>+HYPERLINK("http://trademark.i-assist.jp/data/china/image_1882th/75965456.pdf","75965456")</f>
        <v>75965456</v>
      </c>
      <c r="F466" s="6" t="s">
        <v>1307</v>
      </c>
      <c r="G466" s="6" t="s">
        <v>1308</v>
      </c>
      <c r="H466" s="8" t="s">
        <v>1309</v>
      </c>
      <c r="I466" s="14">
        <v>45282</v>
      </c>
    </row>
    <row r="467" spans="1:9" x14ac:dyDescent="0.15">
      <c r="A467" s="5">
        <v>466</v>
      </c>
      <c r="B467" s="6" t="s">
        <v>9</v>
      </c>
      <c r="C467" s="7">
        <v>1882</v>
      </c>
      <c r="D467" s="8">
        <v>45388</v>
      </c>
      <c r="E467" s="9" t="str">
        <f>+HYPERLINK("http://trademark.i-assist.jp/data/china/image_1882th/75965906.pdf","75965906")</f>
        <v>75965906</v>
      </c>
      <c r="F467" s="6" t="s">
        <v>1310</v>
      </c>
      <c r="G467" s="6" t="s">
        <v>1311</v>
      </c>
      <c r="H467" s="8" t="s">
        <v>1312</v>
      </c>
      <c r="I467" s="14">
        <v>45282</v>
      </c>
    </row>
    <row r="468" spans="1:9" x14ac:dyDescent="0.15">
      <c r="A468" s="5">
        <v>467</v>
      </c>
      <c r="B468" s="6" t="s">
        <v>9</v>
      </c>
      <c r="C468" s="7">
        <v>1882</v>
      </c>
      <c r="D468" s="8">
        <v>45388</v>
      </c>
      <c r="E468" s="9" t="str">
        <f>+HYPERLINK("http://trademark.i-assist.jp/data/china/image_1882th/75966870.pdf","75966870")</f>
        <v>75966870</v>
      </c>
      <c r="F468" s="6" t="s">
        <v>1313</v>
      </c>
      <c r="G468" s="6" t="s">
        <v>1314</v>
      </c>
      <c r="H468" s="8" t="s">
        <v>1315</v>
      </c>
      <c r="I468" s="14">
        <v>45282</v>
      </c>
    </row>
    <row r="469" spans="1:9" x14ac:dyDescent="0.15">
      <c r="A469" s="5">
        <v>468</v>
      </c>
      <c r="B469" s="6" t="s">
        <v>9</v>
      </c>
      <c r="C469" s="7">
        <v>1882</v>
      </c>
      <c r="D469" s="8">
        <v>45388</v>
      </c>
      <c r="E469" s="9" t="str">
        <f>+HYPERLINK("http://trademark.i-assist.jp/data/china/image_1882th/75967431.pdf","75967431")</f>
        <v>75967431</v>
      </c>
      <c r="F469" s="6" t="s">
        <v>1316</v>
      </c>
      <c r="G469" s="6" t="s">
        <v>1317</v>
      </c>
      <c r="H469" s="8" t="s">
        <v>1318</v>
      </c>
      <c r="I469" s="14">
        <v>45282</v>
      </c>
    </row>
    <row r="470" spans="1:9" x14ac:dyDescent="0.15">
      <c r="A470" s="5">
        <v>469</v>
      </c>
      <c r="B470" s="6" t="s">
        <v>9</v>
      </c>
      <c r="C470" s="7">
        <v>1882</v>
      </c>
      <c r="D470" s="8">
        <v>45388</v>
      </c>
      <c r="E470" s="9" t="str">
        <f>+HYPERLINK("http://trademark.i-assist.jp/data/china/image_1882th/75968265.pdf","75968265")</f>
        <v>75968265</v>
      </c>
      <c r="F470" s="6" t="s">
        <v>1319</v>
      </c>
      <c r="G470" s="6" t="s">
        <v>1272</v>
      </c>
      <c r="H470" s="8" t="s">
        <v>1320</v>
      </c>
      <c r="I470" s="14">
        <v>45282</v>
      </c>
    </row>
    <row r="471" spans="1:9" x14ac:dyDescent="0.15">
      <c r="A471" s="5">
        <v>470</v>
      </c>
      <c r="B471" s="6" t="s">
        <v>9</v>
      </c>
      <c r="C471" s="7">
        <v>1882</v>
      </c>
      <c r="D471" s="8">
        <v>45388</v>
      </c>
      <c r="E471" s="9" t="str">
        <f>+HYPERLINK("http://trademark.i-assist.jp/data/china/image_1882th/75968836.pdf","75968836")</f>
        <v>75968836</v>
      </c>
      <c r="F471" s="6" t="s">
        <v>1321</v>
      </c>
      <c r="G471" s="6" t="s">
        <v>1322</v>
      </c>
      <c r="H471" s="8" t="s">
        <v>1323</v>
      </c>
      <c r="I471" s="14">
        <v>45282</v>
      </c>
    </row>
    <row r="472" spans="1:9" x14ac:dyDescent="0.15">
      <c r="A472" s="5">
        <v>471</v>
      </c>
      <c r="B472" s="6" t="s">
        <v>9</v>
      </c>
      <c r="C472" s="7">
        <v>1882</v>
      </c>
      <c r="D472" s="8">
        <v>45388</v>
      </c>
      <c r="E472" s="9" t="str">
        <f>+HYPERLINK("http://trademark.i-assist.jp/data/china/image_1882th/75969026.pdf","75969026")</f>
        <v>75969026</v>
      </c>
      <c r="F472" s="6" t="s">
        <v>1324</v>
      </c>
      <c r="G472" s="6" t="s">
        <v>1325</v>
      </c>
      <c r="H472" s="8" t="s">
        <v>1326</v>
      </c>
      <c r="I472" s="14">
        <v>45282</v>
      </c>
    </row>
    <row r="473" spans="1:9" x14ac:dyDescent="0.15">
      <c r="A473" s="5">
        <v>472</v>
      </c>
      <c r="B473" s="6" t="s">
        <v>9</v>
      </c>
      <c r="C473" s="7">
        <v>1882</v>
      </c>
      <c r="D473" s="8">
        <v>45388</v>
      </c>
      <c r="E473" s="9" t="str">
        <f>+HYPERLINK("http://trademark.i-assist.jp/data/china/image_1882th/75969062.pdf","75969062")</f>
        <v>75969062</v>
      </c>
      <c r="F473" s="6" t="s">
        <v>1327</v>
      </c>
      <c r="G473" s="6" t="s">
        <v>1281</v>
      </c>
      <c r="H473" s="8" t="s">
        <v>1328</v>
      </c>
      <c r="I473" s="14">
        <v>45282</v>
      </c>
    </row>
    <row r="474" spans="1:9" x14ac:dyDescent="0.15">
      <c r="A474" s="5">
        <v>473</v>
      </c>
      <c r="B474" s="6" t="s">
        <v>9</v>
      </c>
      <c r="C474" s="7">
        <v>1882</v>
      </c>
      <c r="D474" s="8">
        <v>45388</v>
      </c>
      <c r="E474" s="9" t="str">
        <f>+HYPERLINK("http://trademark.i-assist.jp/data/china/image_1882th/75970420.pdf","75970420")</f>
        <v>75970420</v>
      </c>
      <c r="F474" s="6" t="s">
        <v>1329</v>
      </c>
      <c r="G474" s="6" t="s">
        <v>1330</v>
      </c>
      <c r="H474" s="8" t="s">
        <v>1331</v>
      </c>
      <c r="I474" s="14">
        <v>45282</v>
      </c>
    </row>
    <row r="475" spans="1:9" x14ac:dyDescent="0.15">
      <c r="A475" s="5">
        <v>474</v>
      </c>
      <c r="B475" s="6" t="s">
        <v>9</v>
      </c>
      <c r="C475" s="7">
        <v>1882</v>
      </c>
      <c r="D475" s="8">
        <v>45388</v>
      </c>
      <c r="E475" s="9" t="str">
        <f>+HYPERLINK("http://trademark.i-assist.jp/data/china/image_1882th/75970824.pdf","75970824")</f>
        <v>75970824</v>
      </c>
      <c r="F475" s="6" t="s">
        <v>1332</v>
      </c>
      <c r="G475" s="6" t="s">
        <v>1333</v>
      </c>
      <c r="H475" s="8" t="s">
        <v>1334</v>
      </c>
      <c r="I475" s="14">
        <v>45282</v>
      </c>
    </row>
    <row r="476" spans="1:9" x14ac:dyDescent="0.15">
      <c r="A476" s="5">
        <v>475</v>
      </c>
      <c r="B476" s="6" t="s">
        <v>9</v>
      </c>
      <c r="C476" s="7">
        <v>1882</v>
      </c>
      <c r="D476" s="8">
        <v>45388</v>
      </c>
      <c r="E476" s="9" t="str">
        <f>+HYPERLINK("http://trademark.i-assist.jp/data/china/image_1882th/75971391.pdf","75971391")</f>
        <v>75971391</v>
      </c>
      <c r="F476" s="6" t="s">
        <v>1335</v>
      </c>
      <c r="G476" s="6" t="s">
        <v>1336</v>
      </c>
      <c r="H476" s="8" t="s">
        <v>1337</v>
      </c>
      <c r="I476" s="14">
        <v>45282</v>
      </c>
    </row>
    <row r="477" spans="1:9" x14ac:dyDescent="0.15">
      <c r="A477" s="5">
        <v>476</v>
      </c>
      <c r="B477" s="6" t="s">
        <v>9</v>
      </c>
      <c r="C477" s="7">
        <v>1882</v>
      </c>
      <c r="D477" s="8">
        <v>45388</v>
      </c>
      <c r="E477" s="9" t="str">
        <f>+HYPERLINK("http://trademark.i-assist.jp/data/china/image_1882th/75971469.pdf","75971469")</f>
        <v>75971469</v>
      </c>
      <c r="F477" s="6" t="s">
        <v>1338</v>
      </c>
      <c r="G477" s="6" t="s">
        <v>1339</v>
      </c>
      <c r="H477" s="8" t="s">
        <v>1340</v>
      </c>
      <c r="I477" s="14">
        <v>45282</v>
      </c>
    </row>
    <row r="478" spans="1:9" x14ac:dyDescent="0.15">
      <c r="A478" s="5">
        <v>477</v>
      </c>
      <c r="B478" s="6" t="s">
        <v>9</v>
      </c>
      <c r="C478" s="7">
        <v>1882</v>
      </c>
      <c r="D478" s="8">
        <v>45388</v>
      </c>
      <c r="E478" s="9" t="str">
        <f>+HYPERLINK("http://trademark.i-assist.jp/data/china/image_1882th/75972137.pdf","75972137")</f>
        <v>75972137</v>
      </c>
      <c r="F478" s="6" t="s">
        <v>1341</v>
      </c>
      <c r="G478" s="6" t="s">
        <v>1281</v>
      </c>
      <c r="H478" s="8" t="s">
        <v>1342</v>
      </c>
      <c r="I478" s="14">
        <v>45282</v>
      </c>
    </row>
    <row r="479" spans="1:9" x14ac:dyDescent="0.15">
      <c r="A479" s="5">
        <v>478</v>
      </c>
      <c r="B479" s="6" t="s">
        <v>9</v>
      </c>
      <c r="C479" s="7">
        <v>1882</v>
      </c>
      <c r="D479" s="8">
        <v>45388</v>
      </c>
      <c r="E479" s="9" t="str">
        <f>+HYPERLINK("http://trademark.i-assist.jp/data/china/image_1882th/75972913.pdf","75972913")</f>
        <v>75972913</v>
      </c>
      <c r="F479" s="6" t="s">
        <v>1343</v>
      </c>
      <c r="G479" s="6" t="s">
        <v>1344</v>
      </c>
      <c r="H479" s="8" t="s">
        <v>1345</v>
      </c>
      <c r="I479" s="14">
        <v>45282</v>
      </c>
    </row>
    <row r="480" spans="1:9" x14ac:dyDescent="0.15">
      <c r="A480" s="5">
        <v>479</v>
      </c>
      <c r="B480" s="6" t="s">
        <v>9</v>
      </c>
      <c r="C480" s="7">
        <v>1882</v>
      </c>
      <c r="D480" s="8">
        <v>45388</v>
      </c>
      <c r="E480" s="9" t="str">
        <f>+HYPERLINK("http://trademark.i-assist.jp/data/china/image_1882th/75973143.pdf","75973143")</f>
        <v>75973143</v>
      </c>
      <c r="F480" s="6" t="s">
        <v>1346</v>
      </c>
      <c r="G480" s="6" t="s">
        <v>1347</v>
      </c>
      <c r="H480" s="8" t="s">
        <v>1348</v>
      </c>
      <c r="I480" s="14">
        <v>45282</v>
      </c>
    </row>
    <row r="481" spans="1:9" x14ac:dyDescent="0.15">
      <c r="A481" s="5">
        <v>480</v>
      </c>
      <c r="B481" s="6" t="s">
        <v>9</v>
      </c>
      <c r="C481" s="7">
        <v>1882</v>
      </c>
      <c r="D481" s="8">
        <v>45388</v>
      </c>
      <c r="E481" s="9" t="str">
        <f>+HYPERLINK("http://trademark.i-assist.jp/data/china/image_1882th/75973592.pdf","75973592")</f>
        <v>75973592</v>
      </c>
      <c r="F481" s="6" t="s">
        <v>1349</v>
      </c>
      <c r="G481" s="6" t="s">
        <v>1350</v>
      </c>
      <c r="H481" s="8" t="s">
        <v>1351</v>
      </c>
      <c r="I481" s="14">
        <v>45282</v>
      </c>
    </row>
    <row r="482" spans="1:9" x14ac:dyDescent="0.15">
      <c r="A482" s="5">
        <v>481</v>
      </c>
      <c r="B482" s="6" t="s">
        <v>9</v>
      </c>
      <c r="C482" s="7">
        <v>1882</v>
      </c>
      <c r="D482" s="8">
        <v>45388</v>
      </c>
      <c r="E482" s="9" t="str">
        <f>+HYPERLINK("http://trademark.i-assist.jp/data/china/image_1882th/75973729.pdf","75973729")</f>
        <v>75973729</v>
      </c>
      <c r="F482" s="6" t="s">
        <v>26</v>
      </c>
      <c r="G482" s="6" t="s">
        <v>1352</v>
      </c>
      <c r="H482" s="8" t="s">
        <v>1353</v>
      </c>
      <c r="I482" s="14">
        <v>45282</v>
      </c>
    </row>
    <row r="483" spans="1:9" x14ac:dyDescent="0.15">
      <c r="A483" s="5">
        <v>482</v>
      </c>
      <c r="B483" s="6" t="s">
        <v>9</v>
      </c>
      <c r="C483" s="7">
        <v>1882</v>
      </c>
      <c r="D483" s="8">
        <v>45388</v>
      </c>
      <c r="E483" s="9" t="str">
        <f>+HYPERLINK("http://trademark.i-assist.jp/data/china/image_1882th/75974312.pdf","75974312")</f>
        <v>75974312</v>
      </c>
      <c r="F483" s="6" t="s">
        <v>1354</v>
      </c>
      <c r="G483" s="6" t="s">
        <v>1355</v>
      </c>
      <c r="H483" s="8" t="s">
        <v>1356</v>
      </c>
      <c r="I483" s="14">
        <v>45282</v>
      </c>
    </row>
    <row r="484" spans="1:9" x14ac:dyDescent="0.15">
      <c r="A484" s="5">
        <v>483</v>
      </c>
      <c r="B484" s="6" t="s">
        <v>9</v>
      </c>
      <c r="C484" s="7">
        <v>1882</v>
      </c>
      <c r="D484" s="8">
        <v>45388</v>
      </c>
      <c r="E484" s="9" t="str">
        <f>+HYPERLINK("http://trademark.i-assist.jp/data/china/image_1882th/75975116.pdf","75975116")</f>
        <v>75975116</v>
      </c>
      <c r="F484" s="6" t="s">
        <v>1357</v>
      </c>
      <c r="G484" s="6" t="s">
        <v>1358</v>
      </c>
      <c r="H484" s="8" t="s">
        <v>1359</v>
      </c>
      <c r="I484" s="14">
        <v>45283</v>
      </c>
    </row>
    <row r="485" spans="1:9" x14ac:dyDescent="0.15">
      <c r="A485" s="5">
        <v>484</v>
      </c>
      <c r="B485" s="6" t="s">
        <v>9</v>
      </c>
      <c r="C485" s="7">
        <v>1882</v>
      </c>
      <c r="D485" s="8">
        <v>45388</v>
      </c>
      <c r="E485" s="9" t="str">
        <f>+HYPERLINK("http://trademark.i-assist.jp/data/china/image_1882th/75975186.pdf","75975186")</f>
        <v>75975186</v>
      </c>
      <c r="F485" s="6" t="s">
        <v>1360</v>
      </c>
      <c r="G485" s="6" t="s">
        <v>1361</v>
      </c>
      <c r="H485" s="8" t="s">
        <v>1362</v>
      </c>
      <c r="I485" s="14">
        <v>45283</v>
      </c>
    </row>
    <row r="486" spans="1:9" x14ac:dyDescent="0.15">
      <c r="A486" s="5">
        <v>485</v>
      </c>
      <c r="B486" s="6" t="s">
        <v>9</v>
      </c>
      <c r="C486" s="7">
        <v>1882</v>
      </c>
      <c r="D486" s="8">
        <v>45388</v>
      </c>
      <c r="E486" s="9" t="str">
        <f>+HYPERLINK("http://trademark.i-assist.jp/data/china/image_1882th/75975797.pdf","75975797")</f>
        <v>75975797</v>
      </c>
      <c r="F486" s="6" t="s">
        <v>1363</v>
      </c>
      <c r="G486" s="6" t="s">
        <v>1364</v>
      </c>
      <c r="H486" s="8" t="s">
        <v>1365</v>
      </c>
      <c r="I486" s="14">
        <v>45283</v>
      </c>
    </row>
    <row r="487" spans="1:9" x14ac:dyDescent="0.15">
      <c r="A487" s="5">
        <v>486</v>
      </c>
      <c r="B487" s="6" t="s">
        <v>9</v>
      </c>
      <c r="C487" s="7">
        <v>1882</v>
      </c>
      <c r="D487" s="8">
        <v>45388</v>
      </c>
      <c r="E487" s="9" t="str">
        <f>+HYPERLINK("http://trademark.i-assist.jp/data/china/image_1882th/75976702.pdf","75976702")</f>
        <v>75976702</v>
      </c>
      <c r="F487" s="6" t="s">
        <v>1366</v>
      </c>
      <c r="G487" s="6" t="s">
        <v>1367</v>
      </c>
      <c r="H487" s="8" t="s">
        <v>1368</v>
      </c>
      <c r="I487" s="14">
        <v>45283</v>
      </c>
    </row>
    <row r="488" spans="1:9" x14ac:dyDescent="0.15">
      <c r="A488" s="5">
        <v>487</v>
      </c>
      <c r="B488" s="6" t="s">
        <v>9</v>
      </c>
      <c r="C488" s="7">
        <v>1882</v>
      </c>
      <c r="D488" s="8">
        <v>45388</v>
      </c>
      <c r="E488" s="9" t="str">
        <f>+HYPERLINK("http://trademark.i-assist.jp/data/china/image_1882th/75977288.pdf","75977288")</f>
        <v>75977288</v>
      </c>
      <c r="F488" s="6" t="s">
        <v>26</v>
      </c>
      <c r="G488" s="6" t="s">
        <v>1369</v>
      </c>
      <c r="H488" s="8" t="s">
        <v>1370</v>
      </c>
      <c r="I488" s="14">
        <v>45283</v>
      </c>
    </row>
    <row r="489" spans="1:9" x14ac:dyDescent="0.15">
      <c r="A489" s="5">
        <v>488</v>
      </c>
      <c r="B489" s="6" t="s">
        <v>9</v>
      </c>
      <c r="C489" s="7">
        <v>1882</v>
      </c>
      <c r="D489" s="8">
        <v>45388</v>
      </c>
      <c r="E489" s="9" t="str">
        <f>+HYPERLINK("http://trademark.i-assist.jp/data/china/image_1882th/75977497.pdf","75977497")</f>
        <v>75977497</v>
      </c>
      <c r="F489" s="6" t="s">
        <v>1371</v>
      </c>
      <c r="G489" s="6" t="s">
        <v>1372</v>
      </c>
      <c r="H489" s="8" t="s">
        <v>1373</v>
      </c>
      <c r="I489" s="14">
        <v>45283</v>
      </c>
    </row>
    <row r="490" spans="1:9" x14ac:dyDescent="0.15">
      <c r="A490" s="5">
        <v>489</v>
      </c>
      <c r="B490" s="6" t="s">
        <v>9</v>
      </c>
      <c r="C490" s="7">
        <v>1882</v>
      </c>
      <c r="D490" s="8">
        <v>45388</v>
      </c>
      <c r="E490" s="9" t="str">
        <f>+HYPERLINK("http://trademark.i-assist.jp/data/china/image_1882th/75977959.pdf","75977959")</f>
        <v>75977959</v>
      </c>
      <c r="F490" s="6" t="s">
        <v>1374</v>
      </c>
      <c r="G490" s="6" t="s">
        <v>1375</v>
      </c>
      <c r="H490" s="8" t="s">
        <v>1376</v>
      </c>
      <c r="I490" s="14">
        <v>45283</v>
      </c>
    </row>
    <row r="491" spans="1:9" x14ac:dyDescent="0.15">
      <c r="A491" s="5">
        <v>490</v>
      </c>
      <c r="B491" s="6" t="s">
        <v>9</v>
      </c>
      <c r="C491" s="7">
        <v>1882</v>
      </c>
      <c r="D491" s="8">
        <v>45388</v>
      </c>
      <c r="E491" s="9" t="str">
        <f>+HYPERLINK("http://trademark.i-assist.jp/data/china/image_1882th/75978797.pdf","75978797")</f>
        <v>75978797</v>
      </c>
      <c r="F491" s="6" t="s">
        <v>1377</v>
      </c>
      <c r="G491" s="6" t="s">
        <v>1378</v>
      </c>
      <c r="H491" s="8" t="s">
        <v>1379</v>
      </c>
      <c r="I491" s="14">
        <v>45283</v>
      </c>
    </row>
    <row r="492" spans="1:9" x14ac:dyDescent="0.15">
      <c r="A492" s="5">
        <v>491</v>
      </c>
      <c r="B492" s="6" t="s">
        <v>9</v>
      </c>
      <c r="C492" s="7">
        <v>1882</v>
      </c>
      <c r="D492" s="8">
        <v>45388</v>
      </c>
      <c r="E492" s="9" t="str">
        <f>+HYPERLINK("http://trademark.i-assist.jp/data/china/image_1882th/75978992.pdf","75978992")</f>
        <v>75978992</v>
      </c>
      <c r="F492" s="6" t="s">
        <v>1380</v>
      </c>
      <c r="G492" s="6" t="s">
        <v>1381</v>
      </c>
      <c r="H492" s="8" t="s">
        <v>1382</v>
      </c>
      <c r="I492" s="14">
        <v>45283</v>
      </c>
    </row>
    <row r="493" spans="1:9" x14ac:dyDescent="0.15">
      <c r="A493" s="5">
        <v>492</v>
      </c>
      <c r="B493" s="6" t="s">
        <v>9</v>
      </c>
      <c r="C493" s="7">
        <v>1882</v>
      </c>
      <c r="D493" s="8">
        <v>45388</v>
      </c>
      <c r="E493" s="9" t="str">
        <f>+HYPERLINK("http://trademark.i-assist.jp/data/china/image_1882th/75978996.pdf","75978996")</f>
        <v>75978996</v>
      </c>
      <c r="F493" s="6" t="s">
        <v>1383</v>
      </c>
      <c r="G493" s="6" t="s">
        <v>1384</v>
      </c>
      <c r="H493" s="8" t="s">
        <v>1385</v>
      </c>
      <c r="I493" s="14">
        <v>45283</v>
      </c>
    </row>
    <row r="494" spans="1:9" x14ac:dyDescent="0.15">
      <c r="A494" s="5">
        <v>493</v>
      </c>
      <c r="B494" s="6" t="s">
        <v>9</v>
      </c>
      <c r="C494" s="7">
        <v>1882</v>
      </c>
      <c r="D494" s="8">
        <v>45388</v>
      </c>
      <c r="E494" s="9" t="str">
        <f>+HYPERLINK("http://trademark.i-assist.jp/data/china/image_1882th/75979282.pdf","75979282")</f>
        <v>75979282</v>
      </c>
      <c r="F494" s="6" t="s">
        <v>1386</v>
      </c>
      <c r="G494" s="6" t="s">
        <v>1387</v>
      </c>
      <c r="H494" s="8" t="s">
        <v>1388</v>
      </c>
      <c r="I494" s="14">
        <v>45283</v>
      </c>
    </row>
    <row r="495" spans="1:9" x14ac:dyDescent="0.15">
      <c r="A495" s="5">
        <v>494</v>
      </c>
      <c r="B495" s="6" t="s">
        <v>9</v>
      </c>
      <c r="C495" s="7">
        <v>1882</v>
      </c>
      <c r="D495" s="8">
        <v>45388</v>
      </c>
      <c r="E495" s="9" t="str">
        <f>+HYPERLINK("http://trademark.i-assist.jp/data/china/image_1882th/75979819.pdf","75979819")</f>
        <v>75979819</v>
      </c>
      <c r="F495" s="6" t="s">
        <v>1389</v>
      </c>
      <c r="G495" s="6" t="s">
        <v>1390</v>
      </c>
      <c r="H495" s="8" t="s">
        <v>1391</v>
      </c>
      <c r="I495" s="14">
        <v>45283</v>
      </c>
    </row>
    <row r="496" spans="1:9" x14ac:dyDescent="0.15">
      <c r="A496" s="5">
        <v>495</v>
      </c>
      <c r="B496" s="6" t="s">
        <v>9</v>
      </c>
      <c r="C496" s="7">
        <v>1882</v>
      </c>
      <c r="D496" s="8">
        <v>45388</v>
      </c>
      <c r="E496" s="9" t="str">
        <f>+HYPERLINK("http://trademark.i-assist.jp/data/china/image_1882th/75980608.pdf","75980608")</f>
        <v>75980608</v>
      </c>
      <c r="F496" s="6" t="s">
        <v>1392</v>
      </c>
      <c r="G496" s="6" t="s">
        <v>1393</v>
      </c>
      <c r="H496" s="8" t="s">
        <v>1394</v>
      </c>
      <c r="I496" s="14">
        <v>45283</v>
      </c>
    </row>
    <row r="497" spans="1:9" x14ac:dyDescent="0.15">
      <c r="A497" s="5">
        <v>496</v>
      </c>
      <c r="B497" s="6" t="s">
        <v>9</v>
      </c>
      <c r="C497" s="7">
        <v>1882</v>
      </c>
      <c r="D497" s="8">
        <v>45388</v>
      </c>
      <c r="E497" s="9" t="str">
        <f>+HYPERLINK("http://trademark.i-assist.jp/data/china/image_1882th/75981434.pdf","75981434")</f>
        <v>75981434</v>
      </c>
      <c r="F497" s="6" t="s">
        <v>26</v>
      </c>
      <c r="G497" s="6" t="s">
        <v>1395</v>
      </c>
      <c r="H497" s="8" t="s">
        <v>1396</v>
      </c>
      <c r="I497" s="14">
        <v>45283</v>
      </c>
    </row>
    <row r="498" spans="1:9" x14ac:dyDescent="0.15">
      <c r="A498" s="5">
        <v>497</v>
      </c>
      <c r="B498" s="6" t="s">
        <v>9</v>
      </c>
      <c r="C498" s="7">
        <v>1882</v>
      </c>
      <c r="D498" s="8">
        <v>45388</v>
      </c>
      <c r="E498" s="9" t="str">
        <f>+HYPERLINK("http://trademark.i-assist.jp/data/china/image_1882th/75981567.pdf","75981567")</f>
        <v>75981567</v>
      </c>
      <c r="F498" s="6" t="s">
        <v>1397</v>
      </c>
      <c r="G498" s="6" t="s">
        <v>1398</v>
      </c>
      <c r="H498" s="8" t="s">
        <v>1399</v>
      </c>
      <c r="I498" s="14">
        <v>45284</v>
      </c>
    </row>
    <row r="499" spans="1:9" x14ac:dyDescent="0.15">
      <c r="A499" s="5">
        <v>498</v>
      </c>
      <c r="B499" s="6" t="s">
        <v>9</v>
      </c>
      <c r="C499" s="7">
        <v>1882</v>
      </c>
      <c r="D499" s="8">
        <v>45388</v>
      </c>
      <c r="E499" s="9" t="str">
        <f>+HYPERLINK("http://trademark.i-assist.jp/data/china/image_1882th/75981814.pdf","75981814")</f>
        <v>75981814</v>
      </c>
      <c r="F499" s="6" t="s">
        <v>26</v>
      </c>
      <c r="G499" s="6" t="s">
        <v>1400</v>
      </c>
      <c r="H499" s="8" t="s">
        <v>1401</v>
      </c>
      <c r="I499" s="14">
        <v>45284</v>
      </c>
    </row>
    <row r="500" spans="1:9" x14ac:dyDescent="0.15">
      <c r="A500" s="5">
        <v>499</v>
      </c>
      <c r="B500" s="6" t="s">
        <v>9</v>
      </c>
      <c r="C500" s="7">
        <v>1882</v>
      </c>
      <c r="D500" s="8">
        <v>45388</v>
      </c>
      <c r="E500" s="9" t="str">
        <f>+HYPERLINK("http://trademark.i-assist.jp/data/china/image_1882th/75982804.pdf","75982804")</f>
        <v>75982804</v>
      </c>
      <c r="F500" s="6" t="s">
        <v>1402</v>
      </c>
      <c r="G500" s="6" t="s">
        <v>1403</v>
      </c>
      <c r="H500" s="8" t="s">
        <v>1404</v>
      </c>
      <c r="I500" s="14">
        <v>45284</v>
      </c>
    </row>
    <row r="501" spans="1:9" x14ac:dyDescent="0.15">
      <c r="A501" s="5">
        <v>500</v>
      </c>
      <c r="B501" s="6" t="s">
        <v>9</v>
      </c>
      <c r="C501" s="7">
        <v>1882</v>
      </c>
      <c r="D501" s="8">
        <v>45388</v>
      </c>
      <c r="E501" s="9" t="str">
        <f>+HYPERLINK("http://trademark.i-assist.jp/data/china/image_1882th/75983477.pdf","75983477")</f>
        <v>75983477</v>
      </c>
      <c r="F501" s="6" t="s">
        <v>1405</v>
      </c>
      <c r="G501" s="6" t="s">
        <v>1405</v>
      </c>
      <c r="H501" s="8" t="s">
        <v>1406</v>
      </c>
      <c r="I501" s="14">
        <v>45284</v>
      </c>
    </row>
    <row r="502" spans="1:9" x14ac:dyDescent="0.15">
      <c r="A502" s="5">
        <v>501</v>
      </c>
      <c r="B502" s="6" t="s">
        <v>9</v>
      </c>
      <c r="C502" s="7">
        <v>1882</v>
      </c>
      <c r="D502" s="8">
        <v>45388</v>
      </c>
      <c r="E502" s="9" t="str">
        <f>+HYPERLINK("http://trademark.i-assist.jp/data/china/image_1882th/75983595.pdf","75983595")</f>
        <v>75983595</v>
      </c>
      <c r="F502" s="6" t="s">
        <v>1407</v>
      </c>
      <c r="G502" s="6" t="s">
        <v>1408</v>
      </c>
      <c r="H502" s="8" t="s">
        <v>1409</v>
      </c>
      <c r="I502" s="14">
        <v>45284</v>
      </c>
    </row>
    <row r="503" spans="1:9" x14ac:dyDescent="0.15">
      <c r="A503" s="5">
        <v>502</v>
      </c>
      <c r="B503" s="6" t="s">
        <v>9</v>
      </c>
      <c r="C503" s="7">
        <v>1882</v>
      </c>
      <c r="D503" s="8">
        <v>45388</v>
      </c>
      <c r="E503" s="9" t="str">
        <f>+HYPERLINK("http://trademark.i-assist.jp/data/china/image_1882th/75984824.pdf","75984824")</f>
        <v>75984824</v>
      </c>
      <c r="F503" s="6" t="s">
        <v>1410</v>
      </c>
      <c r="G503" s="6" t="s">
        <v>1411</v>
      </c>
      <c r="H503" s="8" t="s">
        <v>1412</v>
      </c>
      <c r="I503" s="14">
        <v>45285</v>
      </c>
    </row>
    <row r="504" spans="1:9" x14ac:dyDescent="0.15">
      <c r="A504" s="5">
        <v>503</v>
      </c>
      <c r="B504" s="6" t="s">
        <v>9</v>
      </c>
      <c r="C504" s="7">
        <v>1882</v>
      </c>
      <c r="D504" s="8">
        <v>45388</v>
      </c>
      <c r="E504" s="9" t="str">
        <f>+HYPERLINK("http://trademark.i-assist.jp/data/china/image_1882th/75985132.pdf","75985132")</f>
        <v>75985132</v>
      </c>
      <c r="F504" s="6" t="s">
        <v>1413</v>
      </c>
      <c r="G504" s="6" t="s">
        <v>1414</v>
      </c>
      <c r="H504" s="8" t="s">
        <v>1415</v>
      </c>
      <c r="I504" s="14">
        <v>45285</v>
      </c>
    </row>
    <row r="505" spans="1:9" x14ac:dyDescent="0.15">
      <c r="A505" s="5">
        <v>504</v>
      </c>
      <c r="B505" s="6" t="s">
        <v>9</v>
      </c>
      <c r="C505" s="7">
        <v>1882</v>
      </c>
      <c r="D505" s="8">
        <v>45388</v>
      </c>
      <c r="E505" s="9" t="str">
        <f>+HYPERLINK("http://trademark.i-assist.jp/data/china/image_1882th/75985170.pdf","75985170")</f>
        <v>75985170</v>
      </c>
      <c r="F505" s="6" t="s">
        <v>1416</v>
      </c>
      <c r="G505" s="6" t="s">
        <v>1417</v>
      </c>
      <c r="H505" s="8" t="s">
        <v>1418</v>
      </c>
      <c r="I505" s="14">
        <v>45285</v>
      </c>
    </row>
    <row r="506" spans="1:9" x14ac:dyDescent="0.15">
      <c r="A506" s="5">
        <v>505</v>
      </c>
      <c r="B506" s="6" t="s">
        <v>9</v>
      </c>
      <c r="C506" s="7">
        <v>1882</v>
      </c>
      <c r="D506" s="8">
        <v>45388</v>
      </c>
      <c r="E506" s="9" t="str">
        <f>+HYPERLINK("http://trademark.i-assist.jp/data/china/image_1882th/75985689.pdf","75985689")</f>
        <v>75985689</v>
      </c>
      <c r="F506" s="6" t="s">
        <v>1419</v>
      </c>
      <c r="G506" s="6" t="s">
        <v>1420</v>
      </c>
      <c r="H506" s="8" t="s">
        <v>1421</v>
      </c>
      <c r="I506" s="14">
        <v>45285</v>
      </c>
    </row>
    <row r="507" spans="1:9" x14ac:dyDescent="0.15">
      <c r="A507" s="5">
        <v>506</v>
      </c>
      <c r="B507" s="6" t="s">
        <v>9</v>
      </c>
      <c r="C507" s="7">
        <v>1882</v>
      </c>
      <c r="D507" s="8">
        <v>45388</v>
      </c>
      <c r="E507" s="9" t="str">
        <f>+HYPERLINK("http://trademark.i-assist.jp/data/china/image_1882th/75985872.pdf","75985872")</f>
        <v>75985872</v>
      </c>
      <c r="F507" s="6" t="s">
        <v>1422</v>
      </c>
      <c r="G507" s="6" t="s">
        <v>1423</v>
      </c>
      <c r="H507" s="8" t="s">
        <v>1424</v>
      </c>
      <c r="I507" s="14">
        <v>45285</v>
      </c>
    </row>
    <row r="508" spans="1:9" x14ac:dyDescent="0.15">
      <c r="A508" s="5">
        <v>507</v>
      </c>
      <c r="B508" s="6" t="s">
        <v>9</v>
      </c>
      <c r="C508" s="7">
        <v>1882</v>
      </c>
      <c r="D508" s="8">
        <v>45388</v>
      </c>
      <c r="E508" s="9" t="str">
        <f>+HYPERLINK("http://trademark.i-assist.jp/data/china/image_1882th/75986483.pdf","75986483")</f>
        <v>75986483</v>
      </c>
      <c r="F508" s="6" t="s">
        <v>1425</v>
      </c>
      <c r="G508" s="6" t="s">
        <v>1426</v>
      </c>
      <c r="H508" s="8" t="s">
        <v>1427</v>
      </c>
      <c r="I508" s="14">
        <v>45285</v>
      </c>
    </row>
    <row r="509" spans="1:9" x14ac:dyDescent="0.15">
      <c r="A509" s="5">
        <v>508</v>
      </c>
      <c r="B509" s="6" t="s">
        <v>9</v>
      </c>
      <c r="C509" s="7">
        <v>1882</v>
      </c>
      <c r="D509" s="8">
        <v>45388</v>
      </c>
      <c r="E509" s="9" t="str">
        <f>+HYPERLINK("http://trademark.i-assist.jp/data/china/image_1882th/75986708.pdf","75986708")</f>
        <v>75986708</v>
      </c>
      <c r="F509" s="6" t="s">
        <v>1428</v>
      </c>
      <c r="G509" s="6" t="s">
        <v>1429</v>
      </c>
      <c r="H509" s="8" t="s">
        <v>1430</v>
      </c>
      <c r="I509" s="14">
        <v>45285</v>
      </c>
    </row>
    <row r="510" spans="1:9" x14ac:dyDescent="0.15">
      <c r="A510" s="5">
        <v>509</v>
      </c>
      <c r="B510" s="6" t="s">
        <v>9</v>
      </c>
      <c r="C510" s="7">
        <v>1882</v>
      </c>
      <c r="D510" s="8">
        <v>45388</v>
      </c>
      <c r="E510" s="9" t="str">
        <f>+HYPERLINK("http://trademark.i-assist.jp/data/china/image_1882th/75987112.pdf","75987112")</f>
        <v>75987112</v>
      </c>
      <c r="F510" s="6" t="s">
        <v>1431</v>
      </c>
      <c r="G510" s="6" t="s">
        <v>1432</v>
      </c>
      <c r="H510" s="8" t="s">
        <v>1433</v>
      </c>
      <c r="I510" s="14">
        <v>45285</v>
      </c>
    </row>
    <row r="511" spans="1:9" x14ac:dyDescent="0.15">
      <c r="A511" s="5">
        <v>510</v>
      </c>
      <c r="B511" s="6" t="s">
        <v>9</v>
      </c>
      <c r="C511" s="7">
        <v>1882</v>
      </c>
      <c r="D511" s="8">
        <v>45388</v>
      </c>
      <c r="E511" s="9" t="str">
        <f>+HYPERLINK("http://trademark.i-assist.jp/data/china/image_1882th/75987584.pdf","75987584")</f>
        <v>75987584</v>
      </c>
      <c r="F511" s="6" t="s">
        <v>1434</v>
      </c>
      <c r="G511" s="6" t="s">
        <v>1435</v>
      </c>
      <c r="H511" s="8" t="s">
        <v>1436</v>
      </c>
      <c r="I511" s="14">
        <v>45285</v>
      </c>
    </row>
    <row r="512" spans="1:9" x14ac:dyDescent="0.15">
      <c r="A512" s="5">
        <v>511</v>
      </c>
      <c r="B512" s="6" t="s">
        <v>9</v>
      </c>
      <c r="C512" s="7">
        <v>1882</v>
      </c>
      <c r="D512" s="8">
        <v>45388</v>
      </c>
      <c r="E512" s="9" t="str">
        <f>+HYPERLINK("http://trademark.i-assist.jp/data/china/image_1882th/75987723.pdf","75987723")</f>
        <v>75987723</v>
      </c>
      <c r="F512" s="6" t="s">
        <v>1437</v>
      </c>
      <c r="G512" s="6" t="s">
        <v>1438</v>
      </c>
      <c r="H512" s="8" t="s">
        <v>1439</v>
      </c>
      <c r="I512" s="14">
        <v>45285</v>
      </c>
    </row>
    <row r="513" spans="1:9" x14ac:dyDescent="0.15">
      <c r="A513" s="5">
        <v>512</v>
      </c>
      <c r="B513" s="6" t="s">
        <v>9</v>
      </c>
      <c r="C513" s="7">
        <v>1882</v>
      </c>
      <c r="D513" s="8">
        <v>45388</v>
      </c>
      <c r="E513" s="9" t="str">
        <f>+HYPERLINK("http://trademark.i-assist.jp/data/china/image_1882th/75990159.pdf","75990159")</f>
        <v>75990159</v>
      </c>
      <c r="F513" s="6" t="s">
        <v>1440</v>
      </c>
      <c r="G513" s="6" t="s">
        <v>1441</v>
      </c>
      <c r="H513" s="8" t="s">
        <v>1442</v>
      </c>
      <c r="I513" s="14">
        <v>45285</v>
      </c>
    </row>
    <row r="514" spans="1:9" x14ac:dyDescent="0.15">
      <c r="A514" s="5">
        <v>513</v>
      </c>
      <c r="B514" s="6" t="s">
        <v>9</v>
      </c>
      <c r="C514" s="7">
        <v>1882</v>
      </c>
      <c r="D514" s="8">
        <v>45388</v>
      </c>
      <c r="E514" s="9" t="str">
        <f>+HYPERLINK("http://trademark.i-assist.jp/data/china/image_1882th/75991074.pdf","75991074")</f>
        <v>75991074</v>
      </c>
      <c r="F514" s="6" t="s">
        <v>1443</v>
      </c>
      <c r="G514" s="6" t="s">
        <v>1444</v>
      </c>
      <c r="H514" s="8" t="s">
        <v>1445</v>
      </c>
      <c r="I514" s="14">
        <v>45285</v>
      </c>
    </row>
    <row r="515" spans="1:9" x14ac:dyDescent="0.15">
      <c r="A515" s="5">
        <v>514</v>
      </c>
      <c r="B515" s="6" t="s">
        <v>9</v>
      </c>
      <c r="C515" s="7">
        <v>1882</v>
      </c>
      <c r="D515" s="8">
        <v>45388</v>
      </c>
      <c r="E515" s="9" t="str">
        <f>+HYPERLINK("http://trademark.i-assist.jp/data/china/image_1882th/75993417.pdf","75993417")</f>
        <v>75993417</v>
      </c>
      <c r="F515" s="6" t="s">
        <v>1446</v>
      </c>
      <c r="G515" s="6" t="s">
        <v>1447</v>
      </c>
      <c r="H515" s="8" t="s">
        <v>1448</v>
      </c>
      <c r="I515" s="14">
        <v>45285</v>
      </c>
    </row>
    <row r="516" spans="1:9" x14ac:dyDescent="0.15">
      <c r="A516" s="5">
        <v>515</v>
      </c>
      <c r="B516" s="6" t="s">
        <v>9</v>
      </c>
      <c r="C516" s="7">
        <v>1882</v>
      </c>
      <c r="D516" s="8">
        <v>45388</v>
      </c>
      <c r="E516" s="9" t="str">
        <f>+HYPERLINK("http://trademark.i-assist.jp/data/china/image_1882th/75993726.pdf","75993726")</f>
        <v>75993726</v>
      </c>
      <c r="F516" s="6" t="s">
        <v>1449</v>
      </c>
      <c r="G516" s="6" t="s">
        <v>1450</v>
      </c>
      <c r="H516" s="8" t="s">
        <v>1451</v>
      </c>
      <c r="I516" s="14">
        <v>45286</v>
      </c>
    </row>
    <row r="517" spans="1:9" x14ac:dyDescent="0.15">
      <c r="A517" s="5">
        <v>516</v>
      </c>
      <c r="B517" s="6" t="s">
        <v>9</v>
      </c>
      <c r="C517" s="7">
        <v>1882</v>
      </c>
      <c r="D517" s="8">
        <v>45388</v>
      </c>
      <c r="E517" s="9" t="str">
        <f>+HYPERLINK("http://trademark.i-assist.jp/data/china/image_1882th/75993775.pdf","75993775")</f>
        <v>75993775</v>
      </c>
      <c r="F517" s="6" t="s">
        <v>1452</v>
      </c>
      <c r="G517" s="6" t="s">
        <v>1453</v>
      </c>
      <c r="H517" s="8" t="s">
        <v>1454</v>
      </c>
      <c r="I517" s="14">
        <v>45286</v>
      </c>
    </row>
    <row r="518" spans="1:9" x14ac:dyDescent="0.15">
      <c r="A518" s="5">
        <v>517</v>
      </c>
      <c r="B518" s="6" t="s">
        <v>9</v>
      </c>
      <c r="C518" s="7">
        <v>1882</v>
      </c>
      <c r="D518" s="8">
        <v>45388</v>
      </c>
      <c r="E518" s="9" t="str">
        <f>+HYPERLINK("http://trademark.i-assist.jp/data/china/image_1882th/75994815.pdf","75994815")</f>
        <v>75994815</v>
      </c>
      <c r="F518" s="6" t="s">
        <v>1455</v>
      </c>
      <c r="G518" s="6" t="s">
        <v>1456</v>
      </c>
      <c r="H518" s="8" t="s">
        <v>1457</v>
      </c>
      <c r="I518" s="14">
        <v>45285</v>
      </c>
    </row>
    <row r="519" spans="1:9" x14ac:dyDescent="0.15">
      <c r="A519" s="5">
        <v>518</v>
      </c>
      <c r="B519" s="6" t="s">
        <v>9</v>
      </c>
      <c r="C519" s="7">
        <v>1882</v>
      </c>
      <c r="D519" s="8">
        <v>45388</v>
      </c>
      <c r="E519" s="9" t="str">
        <f>+HYPERLINK("http://trademark.i-assist.jp/data/china/image_1882th/75995289.pdf","75995289")</f>
        <v>75995289</v>
      </c>
      <c r="F519" s="6" t="s">
        <v>1458</v>
      </c>
      <c r="G519" s="6" t="s">
        <v>1459</v>
      </c>
      <c r="H519" s="8" t="s">
        <v>1460</v>
      </c>
      <c r="I519" s="14">
        <v>45285</v>
      </c>
    </row>
    <row r="520" spans="1:9" x14ac:dyDescent="0.15">
      <c r="A520" s="5">
        <v>519</v>
      </c>
      <c r="B520" s="6" t="s">
        <v>9</v>
      </c>
      <c r="C520" s="7">
        <v>1882</v>
      </c>
      <c r="D520" s="8">
        <v>45388</v>
      </c>
      <c r="E520" s="9" t="str">
        <f>+HYPERLINK("http://trademark.i-assist.jp/data/china/image_1882th/75995613.pdf","75995613")</f>
        <v>75995613</v>
      </c>
      <c r="F520" s="6" t="s">
        <v>1461</v>
      </c>
      <c r="G520" s="6" t="s">
        <v>1462</v>
      </c>
      <c r="H520" s="8" t="s">
        <v>1463</v>
      </c>
      <c r="I520" s="14">
        <v>45285</v>
      </c>
    </row>
    <row r="521" spans="1:9" x14ac:dyDescent="0.15">
      <c r="A521" s="5">
        <v>520</v>
      </c>
      <c r="B521" s="6" t="s">
        <v>9</v>
      </c>
      <c r="C521" s="7">
        <v>1882</v>
      </c>
      <c r="D521" s="8">
        <v>45388</v>
      </c>
      <c r="E521" s="9" t="str">
        <f>+HYPERLINK("http://trademark.i-assist.jp/data/china/image_1882th/75995824.pdf","75995824")</f>
        <v>75995824</v>
      </c>
      <c r="F521" s="6" t="s">
        <v>1464</v>
      </c>
      <c r="G521" s="6" t="s">
        <v>1465</v>
      </c>
      <c r="H521" s="8" t="s">
        <v>1466</v>
      </c>
      <c r="I521" s="14">
        <v>45285</v>
      </c>
    </row>
    <row r="522" spans="1:9" x14ac:dyDescent="0.15">
      <c r="A522" s="5">
        <v>521</v>
      </c>
      <c r="B522" s="6" t="s">
        <v>9</v>
      </c>
      <c r="C522" s="7">
        <v>1882</v>
      </c>
      <c r="D522" s="8">
        <v>45388</v>
      </c>
      <c r="E522" s="9" t="str">
        <f>+HYPERLINK("http://trademark.i-assist.jp/data/china/image_1882th/75996408.pdf","75996408")</f>
        <v>75996408</v>
      </c>
      <c r="F522" s="6" t="s">
        <v>1467</v>
      </c>
      <c r="G522" s="6" t="s">
        <v>1468</v>
      </c>
      <c r="H522" s="8" t="s">
        <v>1469</v>
      </c>
      <c r="I522" s="14">
        <v>45285</v>
      </c>
    </row>
    <row r="523" spans="1:9" x14ac:dyDescent="0.15">
      <c r="A523" s="5">
        <v>522</v>
      </c>
      <c r="B523" s="6" t="s">
        <v>9</v>
      </c>
      <c r="C523" s="7">
        <v>1882</v>
      </c>
      <c r="D523" s="8">
        <v>45388</v>
      </c>
      <c r="E523" s="9" t="str">
        <f>+HYPERLINK("http://trademark.i-assist.jp/data/china/image_1882th/75997005.pdf","75997005")</f>
        <v>75997005</v>
      </c>
      <c r="F523" s="6" t="s">
        <v>26</v>
      </c>
      <c r="G523" s="6" t="s">
        <v>1470</v>
      </c>
      <c r="H523" s="8" t="s">
        <v>1471</v>
      </c>
      <c r="I523" s="14">
        <v>45285</v>
      </c>
    </row>
    <row r="524" spans="1:9" x14ac:dyDescent="0.15">
      <c r="A524" s="5">
        <v>523</v>
      </c>
      <c r="B524" s="6" t="s">
        <v>9</v>
      </c>
      <c r="C524" s="7">
        <v>1882</v>
      </c>
      <c r="D524" s="8">
        <v>45388</v>
      </c>
      <c r="E524" s="9" t="str">
        <f>+HYPERLINK("http://trademark.i-assist.jp/data/china/image_1882th/75998682.pdf","75998682")</f>
        <v>75998682</v>
      </c>
      <c r="F524" s="6" t="s">
        <v>1472</v>
      </c>
      <c r="G524" s="6" t="s">
        <v>1473</v>
      </c>
      <c r="H524" s="8" t="s">
        <v>1474</v>
      </c>
      <c r="I524" s="14">
        <v>45285</v>
      </c>
    </row>
    <row r="525" spans="1:9" x14ac:dyDescent="0.15">
      <c r="A525" s="5">
        <v>524</v>
      </c>
      <c r="B525" s="6" t="s">
        <v>9</v>
      </c>
      <c r="C525" s="7">
        <v>1882</v>
      </c>
      <c r="D525" s="8">
        <v>45388</v>
      </c>
      <c r="E525" s="9" t="str">
        <f>+HYPERLINK("http://trademark.i-assist.jp/data/china/image_1882th/76000783.pdf","76000783")</f>
        <v>76000783</v>
      </c>
      <c r="F525" s="6" t="s">
        <v>1475</v>
      </c>
      <c r="G525" s="6" t="s">
        <v>1476</v>
      </c>
      <c r="H525" s="8" t="s">
        <v>1477</v>
      </c>
      <c r="I525" s="14">
        <v>45285</v>
      </c>
    </row>
    <row r="526" spans="1:9" x14ac:dyDescent="0.15">
      <c r="A526" s="5">
        <v>525</v>
      </c>
      <c r="B526" s="6" t="s">
        <v>9</v>
      </c>
      <c r="C526" s="7">
        <v>1882</v>
      </c>
      <c r="D526" s="8">
        <v>45388</v>
      </c>
      <c r="E526" s="9" t="str">
        <f>+HYPERLINK("http://trademark.i-assist.jp/data/china/image_1882th/76001435.pdf","76001435")</f>
        <v>76001435</v>
      </c>
      <c r="F526" s="6" t="s">
        <v>1478</v>
      </c>
      <c r="G526" s="6" t="s">
        <v>1479</v>
      </c>
      <c r="H526" s="8" t="s">
        <v>1480</v>
      </c>
      <c r="I526" s="14">
        <v>45285</v>
      </c>
    </row>
    <row r="527" spans="1:9" x14ac:dyDescent="0.15">
      <c r="A527" s="5">
        <v>526</v>
      </c>
      <c r="B527" s="6" t="s">
        <v>9</v>
      </c>
      <c r="C527" s="7">
        <v>1882</v>
      </c>
      <c r="D527" s="8">
        <v>45388</v>
      </c>
      <c r="E527" s="9" t="str">
        <f>+HYPERLINK("http://trademark.i-assist.jp/data/china/image_1882th/76002166.pdf","76002166")</f>
        <v>76002166</v>
      </c>
      <c r="F527" s="6" t="s">
        <v>1481</v>
      </c>
      <c r="G527" s="6" t="s">
        <v>1482</v>
      </c>
      <c r="H527" s="8" t="s">
        <v>1483</v>
      </c>
      <c r="I527" s="14">
        <v>45285</v>
      </c>
    </row>
    <row r="528" spans="1:9" x14ac:dyDescent="0.15">
      <c r="A528" s="5">
        <v>527</v>
      </c>
      <c r="B528" s="6" t="s">
        <v>9</v>
      </c>
      <c r="C528" s="7">
        <v>1882</v>
      </c>
      <c r="D528" s="8">
        <v>45388</v>
      </c>
      <c r="E528" s="9" t="str">
        <f>+HYPERLINK("http://trademark.i-assist.jp/data/china/image_1882th/76002791.pdf","76002791")</f>
        <v>76002791</v>
      </c>
      <c r="F528" s="6" t="s">
        <v>1484</v>
      </c>
      <c r="G528" s="6" t="s">
        <v>1485</v>
      </c>
      <c r="H528" s="8" t="s">
        <v>1486</v>
      </c>
      <c r="I528" s="14">
        <v>45285</v>
      </c>
    </row>
    <row r="529" spans="1:9" x14ac:dyDescent="0.15">
      <c r="A529" s="5">
        <v>528</v>
      </c>
      <c r="B529" s="6" t="s">
        <v>9</v>
      </c>
      <c r="C529" s="7">
        <v>1882</v>
      </c>
      <c r="D529" s="8">
        <v>45388</v>
      </c>
      <c r="E529" s="9" t="str">
        <f>+HYPERLINK("http://trademark.i-assist.jp/data/china/image_1882th/76003605.pdf","76003605")</f>
        <v>76003605</v>
      </c>
      <c r="F529" s="6" t="s">
        <v>1487</v>
      </c>
      <c r="G529" s="6" t="s">
        <v>1488</v>
      </c>
      <c r="H529" s="8" t="s">
        <v>1489</v>
      </c>
      <c r="I529" s="14">
        <v>45285</v>
      </c>
    </row>
    <row r="530" spans="1:9" x14ac:dyDescent="0.15">
      <c r="A530" s="5">
        <v>529</v>
      </c>
      <c r="B530" s="6" t="s">
        <v>9</v>
      </c>
      <c r="C530" s="7">
        <v>1882</v>
      </c>
      <c r="D530" s="8">
        <v>45388</v>
      </c>
      <c r="E530" s="9" t="str">
        <f>+HYPERLINK("http://trademark.i-assist.jp/data/china/image_1882th/76004108.pdf","76004108")</f>
        <v>76004108</v>
      </c>
      <c r="F530" s="6" t="s">
        <v>1490</v>
      </c>
      <c r="G530" s="6" t="s">
        <v>1491</v>
      </c>
      <c r="H530" s="8" t="s">
        <v>1492</v>
      </c>
      <c r="I530" s="14">
        <v>45285</v>
      </c>
    </row>
    <row r="531" spans="1:9" x14ac:dyDescent="0.15">
      <c r="A531" s="5">
        <v>530</v>
      </c>
      <c r="B531" s="6" t="s">
        <v>9</v>
      </c>
      <c r="C531" s="7">
        <v>1882</v>
      </c>
      <c r="D531" s="8">
        <v>45388</v>
      </c>
      <c r="E531" s="9" t="str">
        <f>+HYPERLINK("http://trademark.i-assist.jp/data/china/image_1882th/76004598.pdf","76004598")</f>
        <v>76004598</v>
      </c>
      <c r="F531" s="6" t="s">
        <v>1493</v>
      </c>
      <c r="G531" s="6" t="s">
        <v>1494</v>
      </c>
      <c r="H531" s="8" t="s">
        <v>1495</v>
      </c>
      <c r="I531" s="14">
        <v>45285</v>
      </c>
    </row>
    <row r="532" spans="1:9" x14ac:dyDescent="0.15">
      <c r="A532" s="5">
        <v>531</v>
      </c>
      <c r="B532" s="6" t="s">
        <v>9</v>
      </c>
      <c r="C532" s="7">
        <v>1882</v>
      </c>
      <c r="D532" s="8">
        <v>45388</v>
      </c>
      <c r="E532" s="9" t="str">
        <f>+HYPERLINK("http://trademark.i-assist.jp/data/china/image_1882th/76005487.pdf","76005487")</f>
        <v>76005487</v>
      </c>
      <c r="F532" s="6" t="s">
        <v>1496</v>
      </c>
      <c r="G532" s="6" t="s">
        <v>1497</v>
      </c>
      <c r="H532" s="8" t="s">
        <v>1498</v>
      </c>
      <c r="I532" s="14">
        <v>45285</v>
      </c>
    </row>
    <row r="533" spans="1:9" x14ac:dyDescent="0.15">
      <c r="A533" s="5">
        <v>532</v>
      </c>
      <c r="B533" s="6" t="s">
        <v>9</v>
      </c>
      <c r="C533" s="7">
        <v>1882</v>
      </c>
      <c r="D533" s="8">
        <v>45388</v>
      </c>
      <c r="E533" s="9" t="str">
        <f>+HYPERLINK("http://trademark.i-assist.jp/data/china/image_1882th/76005751.pdf","76005751")</f>
        <v>76005751</v>
      </c>
      <c r="F533" s="6" t="s">
        <v>1499</v>
      </c>
      <c r="G533" s="6" t="s">
        <v>1500</v>
      </c>
      <c r="H533" s="8" t="s">
        <v>1501</v>
      </c>
      <c r="I533" s="14">
        <v>45285</v>
      </c>
    </row>
    <row r="534" spans="1:9" x14ac:dyDescent="0.15">
      <c r="A534" s="5">
        <v>533</v>
      </c>
      <c r="B534" s="6" t="s">
        <v>9</v>
      </c>
      <c r="C534" s="7">
        <v>1882</v>
      </c>
      <c r="D534" s="8">
        <v>45388</v>
      </c>
      <c r="E534" s="9" t="str">
        <f>+HYPERLINK("http://trademark.i-assist.jp/data/china/image_1882th/76006480.pdf","76006480")</f>
        <v>76006480</v>
      </c>
      <c r="F534" s="6" t="s">
        <v>1502</v>
      </c>
      <c r="G534" s="6" t="s">
        <v>1503</v>
      </c>
      <c r="H534" s="8" t="s">
        <v>1504</v>
      </c>
      <c r="I534" s="14">
        <v>45285</v>
      </c>
    </row>
    <row r="535" spans="1:9" x14ac:dyDescent="0.15">
      <c r="A535" s="5">
        <v>534</v>
      </c>
      <c r="B535" s="6" t="s">
        <v>9</v>
      </c>
      <c r="C535" s="7">
        <v>1882</v>
      </c>
      <c r="D535" s="8">
        <v>45388</v>
      </c>
      <c r="E535" s="9" t="str">
        <f>+HYPERLINK("http://trademark.i-assist.jp/data/china/image_1882th/76006485.pdf","76006485")</f>
        <v>76006485</v>
      </c>
      <c r="F535" s="6" t="s">
        <v>1505</v>
      </c>
      <c r="G535" s="6" t="s">
        <v>1506</v>
      </c>
      <c r="H535" s="8" t="s">
        <v>1507</v>
      </c>
      <c r="I535" s="14">
        <v>45285</v>
      </c>
    </row>
    <row r="536" spans="1:9" x14ac:dyDescent="0.15">
      <c r="A536" s="5">
        <v>535</v>
      </c>
      <c r="B536" s="6" t="s">
        <v>9</v>
      </c>
      <c r="C536" s="7">
        <v>1882</v>
      </c>
      <c r="D536" s="8">
        <v>45388</v>
      </c>
      <c r="E536" s="9" t="str">
        <f>+HYPERLINK("http://trademark.i-assist.jp/data/china/image_1882th/76006579.pdf","76006579")</f>
        <v>76006579</v>
      </c>
      <c r="F536" s="6" t="s">
        <v>1508</v>
      </c>
      <c r="G536" s="6" t="s">
        <v>1509</v>
      </c>
      <c r="H536" s="8" t="s">
        <v>1510</v>
      </c>
      <c r="I536" s="14">
        <v>45285</v>
      </c>
    </row>
    <row r="537" spans="1:9" x14ac:dyDescent="0.15">
      <c r="A537" s="5">
        <v>536</v>
      </c>
      <c r="B537" s="6" t="s">
        <v>9</v>
      </c>
      <c r="C537" s="7">
        <v>1882</v>
      </c>
      <c r="D537" s="8">
        <v>45388</v>
      </c>
      <c r="E537" s="9" t="str">
        <f>+HYPERLINK("http://trademark.i-assist.jp/data/china/image_1882th/76006593.pdf","76006593")</f>
        <v>76006593</v>
      </c>
      <c r="F537" s="6" t="s">
        <v>1511</v>
      </c>
      <c r="G537" s="6" t="s">
        <v>1512</v>
      </c>
      <c r="H537" s="8" t="s">
        <v>1513</v>
      </c>
      <c r="I537" s="14">
        <v>45285</v>
      </c>
    </row>
    <row r="538" spans="1:9" x14ac:dyDescent="0.15">
      <c r="A538" s="5">
        <v>537</v>
      </c>
      <c r="B538" s="6" t="s">
        <v>9</v>
      </c>
      <c r="C538" s="7">
        <v>1882</v>
      </c>
      <c r="D538" s="8">
        <v>45388</v>
      </c>
      <c r="E538" s="9" t="str">
        <f>+HYPERLINK("http://trademark.i-assist.jp/data/china/image_1882th/76007248.pdf","76007248")</f>
        <v>76007248</v>
      </c>
      <c r="F538" s="6" t="s">
        <v>1514</v>
      </c>
      <c r="G538" s="6" t="s">
        <v>1515</v>
      </c>
      <c r="H538" s="8" t="s">
        <v>1516</v>
      </c>
      <c r="I538" s="14">
        <v>45285</v>
      </c>
    </row>
    <row r="539" spans="1:9" x14ac:dyDescent="0.15">
      <c r="A539" s="5">
        <v>538</v>
      </c>
      <c r="B539" s="6" t="s">
        <v>9</v>
      </c>
      <c r="C539" s="7">
        <v>1882</v>
      </c>
      <c r="D539" s="8">
        <v>45388</v>
      </c>
      <c r="E539" s="9" t="str">
        <f>+HYPERLINK("http://trademark.i-assist.jp/data/china/image_1882th/76007475.pdf","76007475")</f>
        <v>76007475</v>
      </c>
      <c r="F539" s="6" t="s">
        <v>1517</v>
      </c>
      <c r="G539" s="6" t="s">
        <v>1465</v>
      </c>
      <c r="H539" s="8" t="s">
        <v>1518</v>
      </c>
      <c r="I539" s="14">
        <v>45285</v>
      </c>
    </row>
    <row r="540" spans="1:9" x14ac:dyDescent="0.15">
      <c r="A540" s="5">
        <v>539</v>
      </c>
      <c r="B540" s="6" t="s">
        <v>9</v>
      </c>
      <c r="C540" s="7">
        <v>1882</v>
      </c>
      <c r="D540" s="8">
        <v>45388</v>
      </c>
      <c r="E540" s="9" t="str">
        <f>+HYPERLINK("http://trademark.i-assist.jp/data/china/image_1882th/76009152.pdf","76009152")</f>
        <v>76009152</v>
      </c>
      <c r="F540" s="6" t="s">
        <v>1519</v>
      </c>
      <c r="G540" s="6" t="s">
        <v>1491</v>
      </c>
      <c r="H540" s="8" t="s">
        <v>1520</v>
      </c>
      <c r="I540" s="14">
        <v>45285</v>
      </c>
    </row>
    <row r="541" spans="1:9" x14ac:dyDescent="0.15">
      <c r="A541" s="5">
        <v>540</v>
      </c>
      <c r="B541" s="6" t="s">
        <v>9</v>
      </c>
      <c r="C541" s="7">
        <v>1882</v>
      </c>
      <c r="D541" s="8">
        <v>45388</v>
      </c>
      <c r="E541" s="9" t="str">
        <f>+HYPERLINK("http://trademark.i-assist.jp/data/china/image_1882th/76009632.pdf","76009632")</f>
        <v>76009632</v>
      </c>
      <c r="F541" s="6" t="s">
        <v>1521</v>
      </c>
      <c r="G541" s="6" t="s">
        <v>1497</v>
      </c>
      <c r="H541" s="8" t="s">
        <v>1522</v>
      </c>
      <c r="I541" s="14">
        <v>45285</v>
      </c>
    </row>
    <row r="542" spans="1:9" x14ac:dyDescent="0.15">
      <c r="A542" s="5">
        <v>541</v>
      </c>
      <c r="B542" s="6" t="s">
        <v>9</v>
      </c>
      <c r="C542" s="7">
        <v>1882</v>
      </c>
      <c r="D542" s="8">
        <v>45388</v>
      </c>
      <c r="E542" s="9" t="str">
        <f>+HYPERLINK("http://trademark.i-assist.jp/data/china/image_1882th/76009657.pdf","76009657")</f>
        <v>76009657</v>
      </c>
      <c r="F542" s="6" t="s">
        <v>1523</v>
      </c>
      <c r="G542" s="6" t="s">
        <v>1524</v>
      </c>
      <c r="H542" s="8" t="s">
        <v>1525</v>
      </c>
      <c r="I542" s="14">
        <v>45285</v>
      </c>
    </row>
    <row r="543" spans="1:9" x14ac:dyDescent="0.15">
      <c r="A543" s="5">
        <v>542</v>
      </c>
      <c r="B543" s="6" t="s">
        <v>9</v>
      </c>
      <c r="C543" s="7">
        <v>1882</v>
      </c>
      <c r="D543" s="8">
        <v>45388</v>
      </c>
      <c r="E543" s="9" t="str">
        <f>+HYPERLINK("http://trademark.i-assist.jp/data/china/image_1882th/76010811.pdf","76010811")</f>
        <v>76010811</v>
      </c>
      <c r="F543" s="6" t="s">
        <v>1526</v>
      </c>
      <c r="G543" s="6" t="s">
        <v>1450</v>
      </c>
      <c r="H543" s="8" t="s">
        <v>1527</v>
      </c>
      <c r="I543" s="14">
        <v>45286</v>
      </c>
    </row>
    <row r="544" spans="1:9" x14ac:dyDescent="0.15">
      <c r="A544" s="5">
        <v>543</v>
      </c>
      <c r="B544" s="6" t="s">
        <v>9</v>
      </c>
      <c r="C544" s="7">
        <v>1882</v>
      </c>
      <c r="D544" s="8">
        <v>45388</v>
      </c>
      <c r="E544" s="9" t="str">
        <f>+HYPERLINK("http://trademark.i-assist.jp/data/china/image_1882th/76012522.pdf","76012522")</f>
        <v>76012522</v>
      </c>
      <c r="F544" s="6" t="s">
        <v>1528</v>
      </c>
      <c r="G544" s="6" t="s">
        <v>1529</v>
      </c>
      <c r="H544" s="8" t="s">
        <v>1530</v>
      </c>
      <c r="I544" s="14">
        <v>45286</v>
      </c>
    </row>
    <row r="545" spans="1:9" x14ac:dyDescent="0.15">
      <c r="A545" s="5">
        <v>544</v>
      </c>
      <c r="B545" s="6" t="s">
        <v>9</v>
      </c>
      <c r="C545" s="7">
        <v>1882</v>
      </c>
      <c r="D545" s="8">
        <v>45388</v>
      </c>
      <c r="E545" s="9" t="str">
        <f>+HYPERLINK("http://trademark.i-assist.jp/data/china/image_1882th/76012699.pdf","76012699")</f>
        <v>76012699</v>
      </c>
      <c r="F545" s="6" t="s">
        <v>1531</v>
      </c>
      <c r="G545" s="6" t="s">
        <v>1532</v>
      </c>
      <c r="H545" s="8" t="s">
        <v>1533</v>
      </c>
      <c r="I545" s="14">
        <v>45286</v>
      </c>
    </row>
    <row r="546" spans="1:9" x14ac:dyDescent="0.15">
      <c r="A546" s="5">
        <v>545</v>
      </c>
      <c r="B546" s="6" t="s">
        <v>9</v>
      </c>
      <c r="C546" s="7">
        <v>1882</v>
      </c>
      <c r="D546" s="8">
        <v>45388</v>
      </c>
      <c r="E546" s="9" t="str">
        <f>+HYPERLINK("http://trademark.i-assist.jp/data/china/image_1882th/76014000.pdf","76014000")</f>
        <v>76014000</v>
      </c>
      <c r="F546" s="6" t="s">
        <v>1534</v>
      </c>
      <c r="G546" s="6" t="s">
        <v>1535</v>
      </c>
      <c r="H546" s="8" t="s">
        <v>1536</v>
      </c>
      <c r="I546" s="14">
        <v>45286</v>
      </c>
    </row>
    <row r="547" spans="1:9" x14ac:dyDescent="0.15">
      <c r="A547" s="5">
        <v>546</v>
      </c>
      <c r="B547" s="6" t="s">
        <v>9</v>
      </c>
      <c r="C547" s="7">
        <v>1882</v>
      </c>
      <c r="D547" s="8">
        <v>45388</v>
      </c>
      <c r="E547" s="9" t="str">
        <f>+HYPERLINK("http://trademark.i-assist.jp/data/china/image_1882th/76014069.pdf","76014069")</f>
        <v>76014069</v>
      </c>
      <c r="F547" s="6" t="s">
        <v>1537</v>
      </c>
      <c r="G547" s="6" t="s">
        <v>1538</v>
      </c>
      <c r="H547" s="8" t="s">
        <v>1539</v>
      </c>
      <c r="I547" s="14">
        <v>45286</v>
      </c>
    </row>
    <row r="548" spans="1:9" x14ac:dyDescent="0.15">
      <c r="A548" s="5">
        <v>547</v>
      </c>
      <c r="B548" s="6" t="s">
        <v>9</v>
      </c>
      <c r="C548" s="7">
        <v>1882</v>
      </c>
      <c r="D548" s="8">
        <v>45388</v>
      </c>
      <c r="E548" s="9" t="str">
        <f>+HYPERLINK("http://trademark.i-assist.jp/data/china/image_1882th/76014417.pdf","76014417")</f>
        <v>76014417</v>
      </c>
      <c r="F548" s="6" t="s">
        <v>1540</v>
      </c>
      <c r="G548" s="6" t="s">
        <v>1541</v>
      </c>
      <c r="H548" s="8" t="s">
        <v>1542</v>
      </c>
      <c r="I548" s="14">
        <v>45286</v>
      </c>
    </row>
    <row r="549" spans="1:9" x14ac:dyDescent="0.15">
      <c r="A549" s="5">
        <v>548</v>
      </c>
      <c r="B549" s="6" t="s">
        <v>9</v>
      </c>
      <c r="C549" s="7">
        <v>1882</v>
      </c>
      <c r="D549" s="8">
        <v>45388</v>
      </c>
      <c r="E549" s="9" t="str">
        <f>+HYPERLINK("http://trademark.i-assist.jp/data/china/image_1882th/76015246.pdf","76015246")</f>
        <v>76015246</v>
      </c>
      <c r="F549" s="6" t="s">
        <v>1543</v>
      </c>
      <c r="G549" s="6" t="s">
        <v>1544</v>
      </c>
      <c r="H549" s="8" t="s">
        <v>1545</v>
      </c>
      <c r="I549" s="14">
        <v>45286</v>
      </c>
    </row>
    <row r="550" spans="1:9" x14ac:dyDescent="0.15">
      <c r="A550" s="5">
        <v>549</v>
      </c>
      <c r="B550" s="6" t="s">
        <v>9</v>
      </c>
      <c r="C550" s="7">
        <v>1882</v>
      </c>
      <c r="D550" s="8">
        <v>45388</v>
      </c>
      <c r="E550" s="9" t="str">
        <f>+HYPERLINK("http://trademark.i-assist.jp/data/china/image_1882th/76015568.pdf","76015568")</f>
        <v>76015568</v>
      </c>
      <c r="F550" s="6" t="s">
        <v>1546</v>
      </c>
      <c r="G550" s="6" t="s">
        <v>1547</v>
      </c>
      <c r="H550" s="8" t="s">
        <v>1548</v>
      </c>
      <c r="I550" s="14">
        <v>45286</v>
      </c>
    </row>
    <row r="551" spans="1:9" x14ac:dyDescent="0.15">
      <c r="A551" s="5">
        <v>550</v>
      </c>
      <c r="B551" s="6" t="s">
        <v>9</v>
      </c>
      <c r="C551" s="7">
        <v>1882</v>
      </c>
      <c r="D551" s="8">
        <v>45388</v>
      </c>
      <c r="E551" s="9" t="str">
        <f>+HYPERLINK("http://trademark.i-assist.jp/data/china/image_1882th/76015759.pdf","76015759")</f>
        <v>76015759</v>
      </c>
      <c r="F551" s="6" t="s">
        <v>1549</v>
      </c>
      <c r="G551" s="6" t="s">
        <v>1550</v>
      </c>
      <c r="H551" s="8" t="s">
        <v>1551</v>
      </c>
      <c r="I551" s="14">
        <v>45286</v>
      </c>
    </row>
    <row r="552" spans="1:9" x14ac:dyDescent="0.15">
      <c r="A552" s="5">
        <v>551</v>
      </c>
      <c r="B552" s="6" t="s">
        <v>9</v>
      </c>
      <c r="C552" s="7">
        <v>1882</v>
      </c>
      <c r="D552" s="8">
        <v>45388</v>
      </c>
      <c r="E552" s="9" t="str">
        <f>+HYPERLINK("http://trademark.i-assist.jp/data/china/image_1882th/76015766.pdf","76015766")</f>
        <v>76015766</v>
      </c>
      <c r="F552" s="6" t="s">
        <v>1552</v>
      </c>
      <c r="G552" s="6" t="s">
        <v>1553</v>
      </c>
      <c r="H552" s="8" t="s">
        <v>1554</v>
      </c>
      <c r="I552" s="14">
        <v>45286</v>
      </c>
    </row>
    <row r="553" spans="1:9" x14ac:dyDescent="0.15">
      <c r="A553" s="5">
        <v>552</v>
      </c>
      <c r="B553" s="6" t="s">
        <v>9</v>
      </c>
      <c r="C553" s="7">
        <v>1882</v>
      </c>
      <c r="D553" s="8">
        <v>45388</v>
      </c>
      <c r="E553" s="9" t="str">
        <f>+HYPERLINK("http://trademark.i-assist.jp/data/china/image_1882th/76015809.pdf","76015809")</f>
        <v>76015809</v>
      </c>
      <c r="F553" s="6" t="s">
        <v>1555</v>
      </c>
      <c r="G553" s="6" t="s">
        <v>1556</v>
      </c>
      <c r="H553" s="8" t="s">
        <v>1557</v>
      </c>
      <c r="I553" s="14">
        <v>45286</v>
      </c>
    </row>
    <row r="554" spans="1:9" x14ac:dyDescent="0.15">
      <c r="A554" s="5">
        <v>553</v>
      </c>
      <c r="B554" s="6" t="s">
        <v>9</v>
      </c>
      <c r="C554" s="7">
        <v>1882</v>
      </c>
      <c r="D554" s="8">
        <v>45388</v>
      </c>
      <c r="E554" s="9" t="str">
        <f>+HYPERLINK("http://trademark.i-assist.jp/data/china/image_1882th/76016500.pdf","76016500")</f>
        <v>76016500</v>
      </c>
      <c r="F554" s="6" t="s">
        <v>1558</v>
      </c>
      <c r="G554" s="6" t="s">
        <v>1559</v>
      </c>
      <c r="H554" s="8" t="s">
        <v>1560</v>
      </c>
      <c r="I554" s="14">
        <v>45286</v>
      </c>
    </row>
    <row r="555" spans="1:9" x14ac:dyDescent="0.15">
      <c r="A555" s="5">
        <v>554</v>
      </c>
      <c r="B555" s="6" t="s">
        <v>9</v>
      </c>
      <c r="C555" s="7">
        <v>1882</v>
      </c>
      <c r="D555" s="8">
        <v>45388</v>
      </c>
      <c r="E555" s="9" t="str">
        <f>+HYPERLINK("http://trademark.i-assist.jp/data/china/image_1882th/76018118.pdf","76018118")</f>
        <v>76018118</v>
      </c>
      <c r="F555" s="6" t="s">
        <v>1561</v>
      </c>
      <c r="G555" s="6" t="s">
        <v>1562</v>
      </c>
      <c r="H555" s="8" t="s">
        <v>1563</v>
      </c>
      <c r="I555" s="14">
        <v>45286</v>
      </c>
    </row>
    <row r="556" spans="1:9" x14ac:dyDescent="0.15">
      <c r="A556" s="5">
        <v>555</v>
      </c>
      <c r="B556" s="6" t="s">
        <v>9</v>
      </c>
      <c r="C556" s="7">
        <v>1882</v>
      </c>
      <c r="D556" s="8">
        <v>45388</v>
      </c>
      <c r="E556" s="9" t="str">
        <f>+HYPERLINK("http://trademark.i-assist.jp/data/china/image_1882th/76018167.pdf","76018167")</f>
        <v>76018167</v>
      </c>
      <c r="F556" s="6" t="s">
        <v>1564</v>
      </c>
      <c r="G556" s="6" t="s">
        <v>1532</v>
      </c>
      <c r="H556" s="8" t="s">
        <v>1565</v>
      </c>
      <c r="I556" s="14">
        <v>45286</v>
      </c>
    </row>
    <row r="557" spans="1:9" x14ac:dyDescent="0.15">
      <c r="A557" s="5">
        <v>556</v>
      </c>
      <c r="B557" s="6" t="s">
        <v>9</v>
      </c>
      <c r="C557" s="7">
        <v>1882</v>
      </c>
      <c r="D557" s="8">
        <v>45388</v>
      </c>
      <c r="E557" s="9" t="str">
        <f>+HYPERLINK("http://trademark.i-assist.jp/data/china/image_1882th/76018409.pdf","76018409")</f>
        <v>76018409</v>
      </c>
      <c r="F557" s="6" t="s">
        <v>26</v>
      </c>
      <c r="G557" s="6" t="s">
        <v>1566</v>
      </c>
      <c r="H557" s="8" t="s">
        <v>1567</v>
      </c>
      <c r="I557" s="14">
        <v>45285</v>
      </c>
    </row>
    <row r="558" spans="1:9" x14ac:dyDescent="0.15">
      <c r="A558" s="5">
        <v>557</v>
      </c>
      <c r="B558" s="6" t="s">
        <v>9</v>
      </c>
      <c r="C558" s="7">
        <v>1882</v>
      </c>
      <c r="D558" s="8">
        <v>45388</v>
      </c>
      <c r="E558" s="9" t="str">
        <f>+HYPERLINK("http://trademark.i-assist.jp/data/china/image_1882th/76019180.pdf","76019180")</f>
        <v>76019180</v>
      </c>
      <c r="F558" s="6" t="s">
        <v>1568</v>
      </c>
      <c r="G558" s="6" t="s">
        <v>1569</v>
      </c>
      <c r="H558" s="8" t="s">
        <v>1570</v>
      </c>
      <c r="I558" s="14">
        <v>45285</v>
      </c>
    </row>
    <row r="559" spans="1:9" x14ac:dyDescent="0.15">
      <c r="A559" s="5">
        <v>558</v>
      </c>
      <c r="B559" s="6" t="s">
        <v>9</v>
      </c>
      <c r="C559" s="7">
        <v>1882</v>
      </c>
      <c r="D559" s="8">
        <v>45388</v>
      </c>
      <c r="E559" s="9" t="str">
        <f>+HYPERLINK("http://trademark.i-assist.jp/data/china/image_1882th/76020540.pdf","76020540")</f>
        <v>76020540</v>
      </c>
      <c r="F559" s="6" t="s">
        <v>1571</v>
      </c>
      <c r="G559" s="6" t="s">
        <v>1572</v>
      </c>
      <c r="H559" s="8" t="s">
        <v>1573</v>
      </c>
      <c r="I559" s="14">
        <v>45285</v>
      </c>
    </row>
    <row r="560" spans="1:9" x14ac:dyDescent="0.15">
      <c r="A560" s="5">
        <v>559</v>
      </c>
      <c r="B560" s="6" t="s">
        <v>9</v>
      </c>
      <c r="C560" s="7">
        <v>1882</v>
      </c>
      <c r="D560" s="8">
        <v>45388</v>
      </c>
      <c r="E560" s="9" t="str">
        <f>+HYPERLINK("http://trademark.i-assist.jp/data/china/image_1882th/76020905.pdf","76020905")</f>
        <v>76020905</v>
      </c>
      <c r="F560" s="6" t="s">
        <v>1574</v>
      </c>
      <c r="G560" s="6" t="s">
        <v>1575</v>
      </c>
      <c r="H560" s="8" t="s">
        <v>1576</v>
      </c>
      <c r="I560" s="14">
        <v>45285</v>
      </c>
    </row>
    <row r="561" spans="1:9" x14ac:dyDescent="0.15">
      <c r="A561" s="5">
        <v>560</v>
      </c>
      <c r="B561" s="6" t="s">
        <v>9</v>
      </c>
      <c r="C561" s="7">
        <v>1882</v>
      </c>
      <c r="D561" s="8">
        <v>45388</v>
      </c>
      <c r="E561" s="9" t="str">
        <f>+HYPERLINK("http://trademark.i-assist.jp/data/china/image_1882th/76021038.pdf","76021038")</f>
        <v>76021038</v>
      </c>
      <c r="F561" s="6" t="s">
        <v>1577</v>
      </c>
      <c r="G561" s="6" t="s">
        <v>1532</v>
      </c>
      <c r="H561" s="8" t="s">
        <v>1578</v>
      </c>
      <c r="I561" s="14">
        <v>45286</v>
      </c>
    </row>
    <row r="562" spans="1:9" x14ac:dyDescent="0.15">
      <c r="A562" s="5">
        <v>561</v>
      </c>
      <c r="B562" s="6" t="s">
        <v>9</v>
      </c>
      <c r="C562" s="7">
        <v>1882</v>
      </c>
      <c r="D562" s="8">
        <v>45388</v>
      </c>
      <c r="E562" s="9" t="str">
        <f>+HYPERLINK("http://trademark.i-assist.jp/data/china/image_1882th/76021137.pdf","76021137")</f>
        <v>76021137</v>
      </c>
      <c r="F562" s="6" t="s">
        <v>1579</v>
      </c>
      <c r="G562" s="6" t="s">
        <v>1580</v>
      </c>
      <c r="H562" s="8" t="s">
        <v>1581</v>
      </c>
      <c r="I562" s="14">
        <v>45286</v>
      </c>
    </row>
    <row r="563" spans="1:9" x14ac:dyDescent="0.15">
      <c r="A563" s="5">
        <v>562</v>
      </c>
      <c r="B563" s="6" t="s">
        <v>9</v>
      </c>
      <c r="C563" s="7">
        <v>1882</v>
      </c>
      <c r="D563" s="8">
        <v>45388</v>
      </c>
      <c r="E563" s="9" t="str">
        <f>+HYPERLINK("http://trademark.i-assist.jp/data/china/image_1882th/76022346.pdf","76022346")</f>
        <v>76022346</v>
      </c>
      <c r="F563" s="6" t="s">
        <v>26</v>
      </c>
      <c r="G563" s="6" t="s">
        <v>1582</v>
      </c>
      <c r="H563" s="8" t="s">
        <v>1583</v>
      </c>
      <c r="I563" s="14">
        <v>45286</v>
      </c>
    </row>
    <row r="564" spans="1:9" x14ac:dyDescent="0.15">
      <c r="A564" s="5">
        <v>563</v>
      </c>
      <c r="B564" s="6" t="s">
        <v>9</v>
      </c>
      <c r="C564" s="7">
        <v>1882</v>
      </c>
      <c r="D564" s="8">
        <v>45388</v>
      </c>
      <c r="E564" s="9" t="str">
        <f>+HYPERLINK("http://trademark.i-assist.jp/data/china/image_1882th/76022591.pdf","76022591")</f>
        <v>76022591</v>
      </c>
      <c r="F564" s="6" t="s">
        <v>1584</v>
      </c>
      <c r="G564" s="6" t="s">
        <v>1585</v>
      </c>
      <c r="H564" s="8" t="s">
        <v>1586</v>
      </c>
      <c r="I564" s="14">
        <v>45286</v>
      </c>
    </row>
    <row r="565" spans="1:9" x14ac:dyDescent="0.15">
      <c r="A565" s="5">
        <v>564</v>
      </c>
      <c r="B565" s="6" t="s">
        <v>9</v>
      </c>
      <c r="C565" s="7">
        <v>1882</v>
      </c>
      <c r="D565" s="8">
        <v>45388</v>
      </c>
      <c r="E565" s="9" t="str">
        <f>+HYPERLINK("http://trademark.i-assist.jp/data/china/image_1882th/76023902.pdf","76023902")</f>
        <v>76023902</v>
      </c>
      <c r="F565" s="6" t="s">
        <v>1587</v>
      </c>
      <c r="G565" s="6" t="s">
        <v>1588</v>
      </c>
      <c r="H565" s="8" t="s">
        <v>1589</v>
      </c>
      <c r="I565" s="14">
        <v>45286</v>
      </c>
    </row>
    <row r="566" spans="1:9" x14ac:dyDescent="0.15">
      <c r="A566" s="5">
        <v>565</v>
      </c>
      <c r="B566" s="6" t="s">
        <v>9</v>
      </c>
      <c r="C566" s="7">
        <v>1882</v>
      </c>
      <c r="D566" s="8">
        <v>45388</v>
      </c>
      <c r="E566" s="9" t="str">
        <f>+HYPERLINK("http://trademark.i-assist.jp/data/china/image_1882th/76024006.pdf","76024006")</f>
        <v>76024006</v>
      </c>
      <c r="F566" s="6" t="s">
        <v>1590</v>
      </c>
      <c r="G566" s="6" t="s">
        <v>1544</v>
      </c>
      <c r="H566" s="8" t="s">
        <v>1591</v>
      </c>
      <c r="I566" s="14">
        <v>45286</v>
      </c>
    </row>
    <row r="567" spans="1:9" x14ac:dyDescent="0.15">
      <c r="A567" s="5">
        <v>566</v>
      </c>
      <c r="B567" s="6" t="s">
        <v>9</v>
      </c>
      <c r="C567" s="7">
        <v>1882</v>
      </c>
      <c r="D567" s="8">
        <v>45388</v>
      </c>
      <c r="E567" s="9" t="str">
        <f>+HYPERLINK("http://trademark.i-assist.jp/data/china/image_1882th/76024397.pdf","76024397")</f>
        <v>76024397</v>
      </c>
      <c r="F567" s="6" t="s">
        <v>1592</v>
      </c>
      <c r="G567" s="6" t="s">
        <v>1593</v>
      </c>
      <c r="H567" s="8" t="s">
        <v>1594</v>
      </c>
      <c r="I567" s="14">
        <v>45286</v>
      </c>
    </row>
    <row r="568" spans="1:9" x14ac:dyDescent="0.15">
      <c r="A568" s="5">
        <v>567</v>
      </c>
      <c r="B568" s="6" t="s">
        <v>9</v>
      </c>
      <c r="C568" s="7">
        <v>1882</v>
      </c>
      <c r="D568" s="8">
        <v>45388</v>
      </c>
      <c r="E568" s="9" t="str">
        <f>+HYPERLINK("http://trademark.i-assist.jp/data/china/image_1882th/76025461.pdf","76025461")</f>
        <v>76025461</v>
      </c>
      <c r="F568" s="6" t="s">
        <v>1595</v>
      </c>
      <c r="G568" s="6" t="s">
        <v>1532</v>
      </c>
      <c r="H568" s="8" t="s">
        <v>1596</v>
      </c>
      <c r="I568" s="14">
        <v>45286</v>
      </c>
    </row>
    <row r="569" spans="1:9" x14ac:dyDescent="0.15">
      <c r="A569" s="5">
        <v>568</v>
      </c>
      <c r="B569" s="6" t="s">
        <v>9</v>
      </c>
      <c r="C569" s="7">
        <v>1882</v>
      </c>
      <c r="D569" s="8">
        <v>45388</v>
      </c>
      <c r="E569" s="9" t="str">
        <f>+HYPERLINK("http://trademark.i-assist.jp/data/china/image_1882th/76025601.pdf","76025601")</f>
        <v>76025601</v>
      </c>
      <c r="F569" s="6" t="s">
        <v>1597</v>
      </c>
      <c r="G569" s="6" t="s">
        <v>1598</v>
      </c>
      <c r="H569" s="8" t="s">
        <v>1599</v>
      </c>
      <c r="I569" s="14">
        <v>45286</v>
      </c>
    </row>
    <row r="570" spans="1:9" x14ac:dyDescent="0.15">
      <c r="A570" s="5">
        <v>569</v>
      </c>
      <c r="B570" s="6" t="s">
        <v>9</v>
      </c>
      <c r="C570" s="7">
        <v>1882</v>
      </c>
      <c r="D570" s="8">
        <v>45388</v>
      </c>
      <c r="E570" s="9" t="str">
        <f>+HYPERLINK("http://trademark.i-assist.jp/data/china/image_1882th/76026322.pdf","76026322")</f>
        <v>76026322</v>
      </c>
      <c r="F570" s="6" t="s">
        <v>1600</v>
      </c>
      <c r="G570" s="6" t="s">
        <v>1601</v>
      </c>
      <c r="H570" s="8" t="s">
        <v>1602</v>
      </c>
      <c r="I570" s="14">
        <v>45286</v>
      </c>
    </row>
    <row r="571" spans="1:9" x14ac:dyDescent="0.15">
      <c r="A571" s="5">
        <v>570</v>
      </c>
      <c r="B571" s="6" t="s">
        <v>9</v>
      </c>
      <c r="C571" s="7">
        <v>1882</v>
      </c>
      <c r="D571" s="8">
        <v>45388</v>
      </c>
      <c r="E571" s="9" t="str">
        <f>+HYPERLINK("http://trademark.i-assist.jp/data/china/image_1882th/76026769.pdf","76026769")</f>
        <v>76026769</v>
      </c>
      <c r="F571" s="6" t="s">
        <v>1603</v>
      </c>
      <c r="G571" s="6" t="s">
        <v>1532</v>
      </c>
      <c r="H571" s="8" t="s">
        <v>1604</v>
      </c>
      <c r="I571" s="14">
        <v>45286</v>
      </c>
    </row>
    <row r="572" spans="1:9" x14ac:dyDescent="0.15">
      <c r="A572" s="5">
        <v>571</v>
      </c>
      <c r="B572" s="6" t="s">
        <v>9</v>
      </c>
      <c r="C572" s="7">
        <v>1882</v>
      </c>
      <c r="D572" s="8">
        <v>45388</v>
      </c>
      <c r="E572" s="9" t="str">
        <f>+HYPERLINK("http://trademark.i-assist.jp/data/china/image_1882th/76026939.pdf","76026939")</f>
        <v>76026939</v>
      </c>
      <c r="F572" s="6" t="s">
        <v>1605</v>
      </c>
      <c r="G572" s="6" t="s">
        <v>1606</v>
      </c>
      <c r="H572" s="8" t="s">
        <v>1607</v>
      </c>
      <c r="I572" s="14">
        <v>45286</v>
      </c>
    </row>
    <row r="573" spans="1:9" x14ac:dyDescent="0.15">
      <c r="A573" s="5">
        <v>572</v>
      </c>
      <c r="B573" s="6" t="s">
        <v>9</v>
      </c>
      <c r="C573" s="7">
        <v>1882</v>
      </c>
      <c r="D573" s="8">
        <v>45388</v>
      </c>
      <c r="E573" s="9" t="str">
        <f>+HYPERLINK("http://trademark.i-assist.jp/data/china/image_1882th/76027171.pdf","76027171")</f>
        <v>76027171</v>
      </c>
      <c r="F573" s="6" t="s">
        <v>1608</v>
      </c>
      <c r="G573" s="6" t="s">
        <v>1609</v>
      </c>
      <c r="H573" s="8" t="s">
        <v>1610</v>
      </c>
      <c r="I573" s="14">
        <v>45286</v>
      </c>
    </row>
    <row r="574" spans="1:9" x14ac:dyDescent="0.15">
      <c r="A574" s="5">
        <v>573</v>
      </c>
      <c r="B574" s="6" t="s">
        <v>9</v>
      </c>
      <c r="C574" s="7">
        <v>1882</v>
      </c>
      <c r="D574" s="8">
        <v>45388</v>
      </c>
      <c r="E574" s="9" t="str">
        <f>+HYPERLINK("http://trademark.i-assist.jp/data/china/image_1882th/76027523.pdf","76027523")</f>
        <v>76027523</v>
      </c>
      <c r="F574" s="6" t="s">
        <v>1611</v>
      </c>
      <c r="G574" s="6" t="s">
        <v>1612</v>
      </c>
      <c r="H574" s="8" t="s">
        <v>1613</v>
      </c>
      <c r="I574" s="14">
        <v>45286</v>
      </c>
    </row>
    <row r="575" spans="1:9" x14ac:dyDescent="0.15">
      <c r="A575" s="5">
        <v>574</v>
      </c>
      <c r="B575" s="6" t="s">
        <v>9</v>
      </c>
      <c r="C575" s="7">
        <v>1882</v>
      </c>
      <c r="D575" s="8">
        <v>45388</v>
      </c>
      <c r="E575" s="9" t="str">
        <f>+HYPERLINK("http://trademark.i-assist.jp/data/china/image_1882th/76027598.pdf","76027598")</f>
        <v>76027598</v>
      </c>
      <c r="F575" s="6" t="s">
        <v>1614</v>
      </c>
      <c r="G575" s="6" t="s">
        <v>1615</v>
      </c>
      <c r="H575" s="8" t="s">
        <v>1616</v>
      </c>
      <c r="I575" s="14">
        <v>45286</v>
      </c>
    </row>
    <row r="576" spans="1:9" x14ac:dyDescent="0.15">
      <c r="A576" s="5">
        <v>575</v>
      </c>
      <c r="B576" s="6" t="s">
        <v>9</v>
      </c>
      <c r="C576" s="7">
        <v>1882</v>
      </c>
      <c r="D576" s="8">
        <v>45388</v>
      </c>
      <c r="E576" s="9" t="str">
        <f>+HYPERLINK("http://trademark.i-assist.jp/data/china/image_1882th/76028040.pdf","76028040")</f>
        <v>76028040</v>
      </c>
      <c r="F576" s="6" t="s">
        <v>1617</v>
      </c>
      <c r="G576" s="6" t="s">
        <v>1618</v>
      </c>
      <c r="H576" s="8" t="s">
        <v>1619</v>
      </c>
      <c r="I576" s="14">
        <v>45286</v>
      </c>
    </row>
    <row r="577" spans="1:9" x14ac:dyDescent="0.15">
      <c r="A577" s="5">
        <v>576</v>
      </c>
      <c r="B577" s="6" t="s">
        <v>9</v>
      </c>
      <c r="C577" s="7">
        <v>1882</v>
      </c>
      <c r="D577" s="8">
        <v>45388</v>
      </c>
      <c r="E577" s="9" t="str">
        <f>+HYPERLINK("http://trademark.i-assist.jp/data/china/image_1882th/76028754.pdf","76028754")</f>
        <v>76028754</v>
      </c>
      <c r="F577" s="6" t="s">
        <v>1620</v>
      </c>
      <c r="G577" s="6" t="s">
        <v>1621</v>
      </c>
      <c r="H577" s="8" t="s">
        <v>1622</v>
      </c>
      <c r="I577" s="14">
        <v>45286</v>
      </c>
    </row>
    <row r="578" spans="1:9" x14ac:dyDescent="0.15">
      <c r="A578" s="5">
        <v>577</v>
      </c>
      <c r="B578" s="6" t="s">
        <v>9</v>
      </c>
      <c r="C578" s="7">
        <v>1882</v>
      </c>
      <c r="D578" s="8">
        <v>45388</v>
      </c>
      <c r="E578" s="9" t="str">
        <f>+HYPERLINK("http://trademark.i-assist.jp/data/china/image_1882th/76029399.pdf","76029399")</f>
        <v>76029399</v>
      </c>
      <c r="F578" s="6" t="s">
        <v>26</v>
      </c>
      <c r="G578" s="6" t="s">
        <v>1623</v>
      </c>
      <c r="H578" s="8" t="s">
        <v>1624</v>
      </c>
      <c r="I578" s="14">
        <v>45286</v>
      </c>
    </row>
    <row r="579" spans="1:9" x14ac:dyDescent="0.15">
      <c r="A579" s="5">
        <v>578</v>
      </c>
      <c r="B579" s="6" t="s">
        <v>9</v>
      </c>
      <c r="C579" s="7">
        <v>1882</v>
      </c>
      <c r="D579" s="8">
        <v>45388</v>
      </c>
      <c r="E579" s="9" t="str">
        <f>+HYPERLINK("http://trademark.i-assist.jp/data/china/image_1882th/76029442.pdf","76029442")</f>
        <v>76029442</v>
      </c>
      <c r="F579" s="6" t="s">
        <v>1625</v>
      </c>
      <c r="G579" s="6" t="s">
        <v>1626</v>
      </c>
      <c r="H579" s="8" t="s">
        <v>1627</v>
      </c>
      <c r="I579" s="14">
        <v>45286</v>
      </c>
    </row>
    <row r="580" spans="1:9" x14ac:dyDescent="0.15">
      <c r="A580" s="5">
        <v>579</v>
      </c>
      <c r="B580" s="6" t="s">
        <v>9</v>
      </c>
      <c r="C580" s="7">
        <v>1882</v>
      </c>
      <c r="D580" s="8">
        <v>45388</v>
      </c>
      <c r="E580" s="9" t="str">
        <f>+HYPERLINK("http://trademark.i-assist.jp/data/china/image_1882th/76029838.pdf","76029838")</f>
        <v>76029838</v>
      </c>
      <c r="F580" s="6" t="s">
        <v>26</v>
      </c>
      <c r="G580" s="6" t="s">
        <v>1628</v>
      </c>
      <c r="H580" s="8" t="s">
        <v>1629</v>
      </c>
      <c r="I580" s="14">
        <v>45286</v>
      </c>
    </row>
    <row r="581" spans="1:9" x14ac:dyDescent="0.15">
      <c r="A581" s="5">
        <v>580</v>
      </c>
      <c r="B581" s="6" t="s">
        <v>9</v>
      </c>
      <c r="C581" s="7">
        <v>1882</v>
      </c>
      <c r="D581" s="8">
        <v>45388</v>
      </c>
      <c r="E581" s="9" t="str">
        <f>+HYPERLINK("http://trademark.i-assist.jp/data/china/image_1882th/76029998.pdf","76029998")</f>
        <v>76029998</v>
      </c>
      <c r="F581" s="6" t="s">
        <v>1630</v>
      </c>
      <c r="G581" s="6" t="s">
        <v>1631</v>
      </c>
      <c r="H581" s="8" t="s">
        <v>1632</v>
      </c>
      <c r="I581" s="14">
        <v>45286</v>
      </c>
    </row>
    <row r="582" spans="1:9" x14ac:dyDescent="0.15">
      <c r="A582" s="5">
        <v>581</v>
      </c>
      <c r="B582" s="6" t="s">
        <v>9</v>
      </c>
      <c r="C582" s="7">
        <v>1882</v>
      </c>
      <c r="D582" s="8">
        <v>45388</v>
      </c>
      <c r="E582" s="9" t="str">
        <f>+HYPERLINK("http://trademark.i-assist.jp/data/china/image_1882th/76030944.pdf","76030944")</f>
        <v>76030944</v>
      </c>
      <c r="F582" s="6" t="s">
        <v>26</v>
      </c>
      <c r="G582" s="6" t="s">
        <v>1633</v>
      </c>
      <c r="H582" s="8" t="s">
        <v>1634</v>
      </c>
      <c r="I582" s="14">
        <v>45286</v>
      </c>
    </row>
    <row r="583" spans="1:9" x14ac:dyDescent="0.15">
      <c r="A583" s="5">
        <v>582</v>
      </c>
      <c r="B583" s="6" t="s">
        <v>9</v>
      </c>
      <c r="C583" s="7">
        <v>1882</v>
      </c>
      <c r="D583" s="8">
        <v>45388</v>
      </c>
      <c r="E583" s="9" t="str">
        <f>+HYPERLINK("http://trademark.i-assist.jp/data/china/image_1882th/76031191.pdf","76031191")</f>
        <v>76031191</v>
      </c>
      <c r="F583" s="6" t="s">
        <v>1635</v>
      </c>
      <c r="G583" s="6" t="s">
        <v>1636</v>
      </c>
      <c r="H583" s="8" t="s">
        <v>1637</v>
      </c>
      <c r="I583" s="14">
        <v>45286</v>
      </c>
    </row>
    <row r="584" spans="1:9" x14ac:dyDescent="0.15">
      <c r="A584" s="5">
        <v>583</v>
      </c>
      <c r="B584" s="6" t="s">
        <v>9</v>
      </c>
      <c r="C584" s="7">
        <v>1882</v>
      </c>
      <c r="D584" s="8">
        <v>45388</v>
      </c>
      <c r="E584" s="9" t="str">
        <f>+HYPERLINK("http://trademark.i-assist.jp/data/china/image_1882th/76031749.pdf","76031749")</f>
        <v>76031749</v>
      </c>
      <c r="F584" s="6" t="s">
        <v>1638</v>
      </c>
      <c r="G584" s="6" t="s">
        <v>1639</v>
      </c>
      <c r="H584" s="8" t="s">
        <v>1640</v>
      </c>
      <c r="I584" s="14">
        <v>45286</v>
      </c>
    </row>
    <row r="585" spans="1:9" x14ac:dyDescent="0.15">
      <c r="A585" s="5">
        <v>584</v>
      </c>
      <c r="B585" s="6" t="s">
        <v>9</v>
      </c>
      <c r="C585" s="7">
        <v>1882</v>
      </c>
      <c r="D585" s="8">
        <v>45388</v>
      </c>
      <c r="E585" s="9" t="str">
        <f>+HYPERLINK("http://trademark.i-assist.jp/data/china/image_1882th/76031818.pdf","76031818")</f>
        <v>76031818</v>
      </c>
      <c r="F585" s="6" t="s">
        <v>1641</v>
      </c>
      <c r="G585" s="6" t="s">
        <v>1642</v>
      </c>
      <c r="H585" s="8" t="s">
        <v>1643</v>
      </c>
      <c r="I585" s="14">
        <v>45286</v>
      </c>
    </row>
    <row r="586" spans="1:9" x14ac:dyDescent="0.15">
      <c r="A586" s="5">
        <v>585</v>
      </c>
      <c r="B586" s="6" t="s">
        <v>9</v>
      </c>
      <c r="C586" s="7">
        <v>1882</v>
      </c>
      <c r="D586" s="8">
        <v>45388</v>
      </c>
      <c r="E586" s="9" t="str">
        <f>+HYPERLINK("http://trademark.i-assist.jp/data/china/image_1882th/76032692.pdf","76032692")</f>
        <v>76032692</v>
      </c>
      <c r="F586" s="6" t="s">
        <v>1614</v>
      </c>
      <c r="G586" s="6" t="s">
        <v>1615</v>
      </c>
      <c r="H586" s="8" t="s">
        <v>1644</v>
      </c>
      <c r="I586" s="14">
        <v>45286</v>
      </c>
    </row>
    <row r="587" spans="1:9" x14ac:dyDescent="0.15">
      <c r="A587" s="5">
        <v>586</v>
      </c>
      <c r="B587" s="6" t="s">
        <v>9</v>
      </c>
      <c r="C587" s="7">
        <v>1882</v>
      </c>
      <c r="D587" s="8">
        <v>45388</v>
      </c>
      <c r="E587" s="9" t="str">
        <f>+HYPERLINK("http://trademark.i-assist.jp/data/china/image_1882th/76032800.pdf","76032800")</f>
        <v>76032800</v>
      </c>
      <c r="F587" s="6" t="s">
        <v>1645</v>
      </c>
      <c r="G587" s="6" t="s">
        <v>1646</v>
      </c>
      <c r="H587" s="8" t="s">
        <v>1647</v>
      </c>
      <c r="I587" s="14">
        <v>45286</v>
      </c>
    </row>
    <row r="588" spans="1:9" x14ac:dyDescent="0.15">
      <c r="A588" s="5">
        <v>587</v>
      </c>
      <c r="B588" s="6" t="s">
        <v>9</v>
      </c>
      <c r="C588" s="7">
        <v>1882</v>
      </c>
      <c r="D588" s="8">
        <v>45388</v>
      </c>
      <c r="E588" s="9" t="str">
        <f>+HYPERLINK("http://trademark.i-assist.jp/data/china/image_1882th/76033869.pdf","76033869")</f>
        <v>76033869</v>
      </c>
      <c r="F588" s="6" t="s">
        <v>1648</v>
      </c>
      <c r="G588" s="6" t="s">
        <v>1649</v>
      </c>
      <c r="H588" s="8" t="s">
        <v>1650</v>
      </c>
      <c r="I588" s="14">
        <v>45286</v>
      </c>
    </row>
    <row r="589" spans="1:9" x14ac:dyDescent="0.15">
      <c r="A589" s="5">
        <v>588</v>
      </c>
      <c r="B589" s="6" t="s">
        <v>9</v>
      </c>
      <c r="C589" s="7">
        <v>1882</v>
      </c>
      <c r="D589" s="8">
        <v>45388</v>
      </c>
      <c r="E589" s="9" t="str">
        <f>+HYPERLINK("http://trademark.i-assist.jp/data/china/image_1882th/76034015.pdf","76034015")</f>
        <v>76034015</v>
      </c>
      <c r="F589" s="6" t="s">
        <v>1651</v>
      </c>
      <c r="G589" s="6" t="s">
        <v>1652</v>
      </c>
      <c r="H589" s="8" t="s">
        <v>1653</v>
      </c>
      <c r="I589" s="14">
        <v>45286</v>
      </c>
    </row>
    <row r="590" spans="1:9" x14ac:dyDescent="0.15">
      <c r="A590" s="5">
        <v>589</v>
      </c>
      <c r="B590" s="6" t="s">
        <v>9</v>
      </c>
      <c r="C590" s="7">
        <v>1882</v>
      </c>
      <c r="D590" s="8">
        <v>45388</v>
      </c>
      <c r="E590" s="9" t="str">
        <f>+HYPERLINK("http://trademark.i-assist.jp/data/china/image_1882th/76034277.pdf","76034277")</f>
        <v>76034277</v>
      </c>
      <c r="F590" s="6" t="s">
        <v>1654</v>
      </c>
      <c r="G590" s="6" t="s">
        <v>1655</v>
      </c>
      <c r="H590" s="8" t="s">
        <v>1656</v>
      </c>
      <c r="I590" s="14">
        <v>45286</v>
      </c>
    </row>
    <row r="591" spans="1:9" x14ac:dyDescent="0.15">
      <c r="A591" s="5">
        <v>590</v>
      </c>
      <c r="B591" s="6" t="s">
        <v>9</v>
      </c>
      <c r="C591" s="7">
        <v>1882</v>
      </c>
      <c r="D591" s="8">
        <v>45388</v>
      </c>
      <c r="E591" s="9" t="str">
        <f>+HYPERLINK("http://trademark.i-assist.jp/data/china/image_1882th/76037827.pdf","76037827")</f>
        <v>76037827</v>
      </c>
      <c r="F591" s="6" t="s">
        <v>1657</v>
      </c>
      <c r="G591" s="6" t="s">
        <v>1658</v>
      </c>
      <c r="H591" s="8" t="s">
        <v>1659</v>
      </c>
      <c r="I591" s="14">
        <v>45287</v>
      </c>
    </row>
    <row r="592" spans="1:9" x14ac:dyDescent="0.15">
      <c r="A592" s="5">
        <v>591</v>
      </c>
      <c r="B592" s="6" t="s">
        <v>9</v>
      </c>
      <c r="C592" s="7">
        <v>1882</v>
      </c>
      <c r="D592" s="8">
        <v>45388</v>
      </c>
      <c r="E592" s="9" t="str">
        <f>+HYPERLINK("http://trademark.i-assist.jp/data/china/image_1882th/76038354.pdf","76038354")</f>
        <v>76038354</v>
      </c>
      <c r="F592" s="6" t="s">
        <v>1660</v>
      </c>
      <c r="G592" s="6" t="s">
        <v>1661</v>
      </c>
      <c r="H592" s="8" t="s">
        <v>1662</v>
      </c>
      <c r="I592" s="14">
        <v>45287</v>
      </c>
    </row>
    <row r="593" spans="1:9" x14ac:dyDescent="0.15">
      <c r="A593" s="5">
        <v>592</v>
      </c>
      <c r="B593" s="6" t="s">
        <v>9</v>
      </c>
      <c r="C593" s="7">
        <v>1882</v>
      </c>
      <c r="D593" s="8">
        <v>45388</v>
      </c>
      <c r="E593" s="9" t="str">
        <f>+HYPERLINK("http://trademark.i-assist.jp/data/china/image_1882th/76039286.pdf","76039286")</f>
        <v>76039286</v>
      </c>
      <c r="F593" s="6" t="s">
        <v>1663</v>
      </c>
      <c r="G593" s="6" t="s">
        <v>1664</v>
      </c>
      <c r="H593" s="8" t="s">
        <v>1665</v>
      </c>
      <c r="I593" s="14">
        <v>45287</v>
      </c>
    </row>
    <row r="594" spans="1:9" x14ac:dyDescent="0.15">
      <c r="A594" s="5">
        <v>593</v>
      </c>
      <c r="B594" s="6" t="s">
        <v>9</v>
      </c>
      <c r="C594" s="7">
        <v>1882</v>
      </c>
      <c r="D594" s="8">
        <v>45388</v>
      </c>
      <c r="E594" s="9" t="str">
        <f>+HYPERLINK("http://trademark.i-assist.jp/data/china/image_1882th/76039509.pdf","76039509")</f>
        <v>76039509</v>
      </c>
      <c r="F594" s="6" t="s">
        <v>1666</v>
      </c>
      <c r="G594" s="6" t="s">
        <v>1311</v>
      </c>
      <c r="H594" s="8" t="s">
        <v>1667</v>
      </c>
      <c r="I594" s="14">
        <v>45287</v>
      </c>
    </row>
    <row r="595" spans="1:9" x14ac:dyDescent="0.15">
      <c r="A595" s="5">
        <v>594</v>
      </c>
      <c r="B595" s="6" t="s">
        <v>9</v>
      </c>
      <c r="C595" s="7">
        <v>1882</v>
      </c>
      <c r="D595" s="8">
        <v>45388</v>
      </c>
      <c r="E595" s="9" t="str">
        <f>+HYPERLINK("http://trademark.i-assist.jp/data/china/image_1882th/76040357.pdf","76040357")</f>
        <v>76040357</v>
      </c>
      <c r="F595" s="6" t="s">
        <v>1668</v>
      </c>
      <c r="G595" s="6" t="s">
        <v>1669</v>
      </c>
      <c r="H595" s="8" t="s">
        <v>1670</v>
      </c>
      <c r="I595" s="14">
        <v>45287</v>
      </c>
    </row>
    <row r="596" spans="1:9" x14ac:dyDescent="0.15">
      <c r="A596" s="5">
        <v>595</v>
      </c>
      <c r="B596" s="6" t="s">
        <v>9</v>
      </c>
      <c r="C596" s="7">
        <v>1882</v>
      </c>
      <c r="D596" s="8">
        <v>45388</v>
      </c>
      <c r="E596" s="9" t="str">
        <f>+HYPERLINK("http://trademark.i-assist.jp/data/china/image_1882th/76040650.pdf","76040650")</f>
        <v>76040650</v>
      </c>
      <c r="F596" s="6" t="s">
        <v>1671</v>
      </c>
      <c r="G596" s="6" t="s">
        <v>1672</v>
      </c>
      <c r="H596" s="8" t="s">
        <v>1673</v>
      </c>
      <c r="I596" s="14">
        <v>45287</v>
      </c>
    </row>
    <row r="597" spans="1:9" x14ac:dyDescent="0.15">
      <c r="A597" s="5">
        <v>596</v>
      </c>
      <c r="B597" s="6" t="s">
        <v>9</v>
      </c>
      <c r="C597" s="7">
        <v>1882</v>
      </c>
      <c r="D597" s="8">
        <v>45388</v>
      </c>
      <c r="E597" s="9" t="str">
        <f>+HYPERLINK("http://trademark.i-assist.jp/data/china/image_1882th/76041531.pdf","76041531")</f>
        <v>76041531</v>
      </c>
      <c r="F597" s="6" t="s">
        <v>1674</v>
      </c>
      <c r="G597" s="6" t="s">
        <v>1675</v>
      </c>
      <c r="H597" s="8" t="s">
        <v>1676</v>
      </c>
      <c r="I597" s="14">
        <v>45287</v>
      </c>
    </row>
    <row r="598" spans="1:9" x14ac:dyDescent="0.15">
      <c r="A598" s="5">
        <v>597</v>
      </c>
      <c r="B598" s="6" t="s">
        <v>9</v>
      </c>
      <c r="C598" s="7">
        <v>1882</v>
      </c>
      <c r="D598" s="8">
        <v>45388</v>
      </c>
      <c r="E598" s="9" t="str">
        <f>+HYPERLINK("http://trademark.i-assist.jp/data/china/image_1882th/76042038.pdf","76042038")</f>
        <v>76042038</v>
      </c>
      <c r="F598" s="6" t="s">
        <v>1677</v>
      </c>
      <c r="G598" s="6" t="s">
        <v>1678</v>
      </c>
      <c r="H598" s="8" t="s">
        <v>1679</v>
      </c>
      <c r="I598" s="14">
        <v>45287</v>
      </c>
    </row>
    <row r="599" spans="1:9" x14ac:dyDescent="0.15">
      <c r="A599" s="5">
        <v>598</v>
      </c>
      <c r="B599" s="6" t="s">
        <v>9</v>
      </c>
      <c r="C599" s="7">
        <v>1882</v>
      </c>
      <c r="D599" s="8">
        <v>45388</v>
      </c>
      <c r="E599" s="9" t="str">
        <f>+HYPERLINK("http://trademark.i-assist.jp/data/china/image_1882th/76042906.pdf","76042906")</f>
        <v>76042906</v>
      </c>
      <c r="F599" s="6" t="s">
        <v>1680</v>
      </c>
      <c r="G599" s="6" t="s">
        <v>1681</v>
      </c>
      <c r="H599" s="8" t="s">
        <v>1682</v>
      </c>
      <c r="I599" s="14">
        <v>45287</v>
      </c>
    </row>
    <row r="600" spans="1:9" x14ac:dyDescent="0.15">
      <c r="A600" s="5">
        <v>599</v>
      </c>
      <c r="B600" s="6" t="s">
        <v>9</v>
      </c>
      <c r="C600" s="7">
        <v>1882</v>
      </c>
      <c r="D600" s="8">
        <v>45388</v>
      </c>
      <c r="E600" s="9" t="str">
        <f>+HYPERLINK("http://trademark.i-assist.jp/data/china/image_1882th/76043064.pdf","76043064")</f>
        <v>76043064</v>
      </c>
      <c r="F600" s="6" t="s">
        <v>1683</v>
      </c>
      <c r="G600" s="6" t="s">
        <v>1684</v>
      </c>
      <c r="H600" s="8" t="s">
        <v>1685</v>
      </c>
      <c r="I600" s="14">
        <v>45287</v>
      </c>
    </row>
    <row r="601" spans="1:9" x14ac:dyDescent="0.15">
      <c r="A601" s="5">
        <v>600</v>
      </c>
      <c r="B601" s="6" t="s">
        <v>9</v>
      </c>
      <c r="C601" s="7">
        <v>1882</v>
      </c>
      <c r="D601" s="8">
        <v>45388</v>
      </c>
      <c r="E601" s="9" t="str">
        <f>+HYPERLINK("http://trademark.i-assist.jp/data/china/image_1882th/76044091.pdf","76044091")</f>
        <v>76044091</v>
      </c>
      <c r="F601" s="6" t="s">
        <v>26</v>
      </c>
      <c r="G601" s="6" t="s">
        <v>1686</v>
      </c>
      <c r="H601" s="8" t="s">
        <v>1687</v>
      </c>
      <c r="I601" s="14">
        <v>45287</v>
      </c>
    </row>
    <row r="602" spans="1:9" x14ac:dyDescent="0.15">
      <c r="A602" s="5">
        <v>601</v>
      </c>
      <c r="B602" s="6" t="s">
        <v>9</v>
      </c>
      <c r="C602" s="7">
        <v>1882</v>
      </c>
      <c r="D602" s="8">
        <v>45388</v>
      </c>
      <c r="E602" s="9" t="str">
        <f>+HYPERLINK("http://trademark.i-assist.jp/data/china/image_1882th/76046073.pdf","76046073")</f>
        <v>76046073</v>
      </c>
      <c r="F602" s="6" t="s">
        <v>1688</v>
      </c>
      <c r="G602" s="6" t="s">
        <v>1689</v>
      </c>
      <c r="H602" s="8" t="s">
        <v>1690</v>
      </c>
      <c r="I602" s="14">
        <v>45287</v>
      </c>
    </row>
    <row r="603" spans="1:9" x14ac:dyDescent="0.15">
      <c r="A603" s="5">
        <v>602</v>
      </c>
      <c r="B603" s="6" t="s">
        <v>9</v>
      </c>
      <c r="C603" s="7">
        <v>1882</v>
      </c>
      <c r="D603" s="8">
        <v>45388</v>
      </c>
      <c r="E603" s="9" t="str">
        <f>+HYPERLINK("http://trademark.i-assist.jp/data/china/image_1882th/76046481.pdf","76046481")</f>
        <v>76046481</v>
      </c>
      <c r="F603" s="6" t="s">
        <v>1691</v>
      </c>
      <c r="G603" s="6" t="s">
        <v>1692</v>
      </c>
      <c r="H603" s="8" t="s">
        <v>1693</v>
      </c>
      <c r="I603" s="14">
        <v>45287</v>
      </c>
    </row>
    <row r="604" spans="1:9" x14ac:dyDescent="0.15">
      <c r="A604" s="5">
        <v>603</v>
      </c>
      <c r="B604" s="6" t="s">
        <v>9</v>
      </c>
      <c r="C604" s="7">
        <v>1882</v>
      </c>
      <c r="D604" s="8">
        <v>45388</v>
      </c>
      <c r="E604" s="9" t="str">
        <f>+HYPERLINK("http://trademark.i-assist.jp/data/china/image_1882th/76046971.pdf","76046971")</f>
        <v>76046971</v>
      </c>
      <c r="F604" s="6" t="s">
        <v>1694</v>
      </c>
      <c r="G604" s="6" t="s">
        <v>1695</v>
      </c>
      <c r="H604" s="8" t="s">
        <v>1696</v>
      </c>
      <c r="I604" s="14">
        <v>45287</v>
      </c>
    </row>
    <row r="605" spans="1:9" x14ac:dyDescent="0.15">
      <c r="A605" s="5">
        <v>604</v>
      </c>
      <c r="B605" s="6" t="s">
        <v>9</v>
      </c>
      <c r="C605" s="7">
        <v>1882</v>
      </c>
      <c r="D605" s="8">
        <v>45388</v>
      </c>
      <c r="E605" s="9" t="str">
        <f>+HYPERLINK("http://trademark.i-assist.jp/data/china/image_1882th/76047761.pdf","76047761")</f>
        <v>76047761</v>
      </c>
      <c r="F605" s="6" t="s">
        <v>1697</v>
      </c>
      <c r="G605" s="6" t="s">
        <v>1698</v>
      </c>
      <c r="H605" s="8" t="s">
        <v>1699</v>
      </c>
      <c r="I605" s="14">
        <v>45287</v>
      </c>
    </row>
    <row r="606" spans="1:9" x14ac:dyDescent="0.15">
      <c r="A606" s="5">
        <v>605</v>
      </c>
      <c r="B606" s="6" t="s">
        <v>9</v>
      </c>
      <c r="C606" s="7">
        <v>1882</v>
      </c>
      <c r="D606" s="8">
        <v>45388</v>
      </c>
      <c r="E606" s="9" t="str">
        <f>+HYPERLINK("http://trademark.i-assist.jp/data/china/image_1882th/76048000.pdf","76048000")</f>
        <v>76048000</v>
      </c>
      <c r="F606" s="6" t="s">
        <v>1700</v>
      </c>
      <c r="G606" s="6" t="s">
        <v>1701</v>
      </c>
      <c r="H606" s="8" t="s">
        <v>1702</v>
      </c>
      <c r="I606" s="14">
        <v>45287</v>
      </c>
    </row>
    <row r="607" spans="1:9" x14ac:dyDescent="0.15">
      <c r="A607" s="5">
        <v>606</v>
      </c>
      <c r="B607" s="6" t="s">
        <v>9</v>
      </c>
      <c r="C607" s="7">
        <v>1882</v>
      </c>
      <c r="D607" s="8">
        <v>45388</v>
      </c>
      <c r="E607" s="9" t="str">
        <f>+HYPERLINK("http://trademark.i-assist.jp/data/china/image_1882th/76049233.pdf","76049233")</f>
        <v>76049233</v>
      </c>
      <c r="F607" s="6" t="s">
        <v>26</v>
      </c>
      <c r="G607" s="6" t="s">
        <v>1703</v>
      </c>
      <c r="H607" s="8" t="s">
        <v>1704</v>
      </c>
      <c r="I607" s="14">
        <v>45287</v>
      </c>
    </row>
    <row r="608" spans="1:9" x14ac:dyDescent="0.15">
      <c r="A608" s="5">
        <v>607</v>
      </c>
      <c r="B608" s="6" t="s">
        <v>9</v>
      </c>
      <c r="C608" s="7">
        <v>1882</v>
      </c>
      <c r="D608" s="8">
        <v>45388</v>
      </c>
      <c r="E608" s="9" t="str">
        <f>+HYPERLINK("http://trademark.i-assist.jp/data/china/image_1882th/76050197.pdf","76050197")</f>
        <v>76050197</v>
      </c>
      <c r="F608" s="6" t="s">
        <v>26</v>
      </c>
      <c r="G608" s="6" t="s">
        <v>1705</v>
      </c>
      <c r="H608" s="8" t="s">
        <v>1706</v>
      </c>
      <c r="I608" s="14">
        <v>45287</v>
      </c>
    </row>
    <row r="609" spans="1:9" x14ac:dyDescent="0.15">
      <c r="A609" s="5">
        <v>608</v>
      </c>
      <c r="B609" s="6" t="s">
        <v>9</v>
      </c>
      <c r="C609" s="7">
        <v>1882</v>
      </c>
      <c r="D609" s="8">
        <v>45388</v>
      </c>
      <c r="E609" s="9" t="str">
        <f>+HYPERLINK("http://trademark.i-assist.jp/data/china/image_1882th/76050207.pdf","76050207")</f>
        <v>76050207</v>
      </c>
      <c r="F609" s="6" t="s">
        <v>26</v>
      </c>
      <c r="G609" s="6" t="s">
        <v>1707</v>
      </c>
      <c r="H609" s="8" t="s">
        <v>1708</v>
      </c>
      <c r="I609" s="14">
        <v>45287</v>
      </c>
    </row>
    <row r="610" spans="1:9" x14ac:dyDescent="0.15">
      <c r="A610" s="5">
        <v>609</v>
      </c>
      <c r="B610" s="6" t="s">
        <v>9</v>
      </c>
      <c r="C610" s="7">
        <v>1882</v>
      </c>
      <c r="D610" s="8">
        <v>45388</v>
      </c>
      <c r="E610" s="9" t="str">
        <f>+HYPERLINK("http://trademark.i-assist.jp/data/china/image_1882th/76050588.pdf","76050588")</f>
        <v>76050588</v>
      </c>
      <c r="F610" s="6" t="s">
        <v>1709</v>
      </c>
      <c r="G610" s="6" t="s">
        <v>1710</v>
      </c>
      <c r="H610" s="8" t="s">
        <v>1711</v>
      </c>
      <c r="I610" s="14">
        <v>45287</v>
      </c>
    </row>
    <row r="611" spans="1:9" x14ac:dyDescent="0.15">
      <c r="A611" s="5">
        <v>610</v>
      </c>
      <c r="B611" s="6" t="s">
        <v>9</v>
      </c>
      <c r="C611" s="7">
        <v>1882</v>
      </c>
      <c r="D611" s="8">
        <v>45388</v>
      </c>
      <c r="E611" s="9" t="str">
        <f>+HYPERLINK("http://trademark.i-assist.jp/data/china/image_1882th/76051007.pdf","76051007")</f>
        <v>76051007</v>
      </c>
      <c r="F611" s="6" t="s">
        <v>1712</v>
      </c>
      <c r="G611" s="6" t="s">
        <v>1713</v>
      </c>
      <c r="H611" s="8" t="s">
        <v>1714</v>
      </c>
      <c r="I611" s="14">
        <v>45287</v>
      </c>
    </row>
    <row r="612" spans="1:9" x14ac:dyDescent="0.15">
      <c r="A612" s="5">
        <v>611</v>
      </c>
      <c r="B612" s="6" t="s">
        <v>9</v>
      </c>
      <c r="C612" s="7">
        <v>1882</v>
      </c>
      <c r="D612" s="8">
        <v>45388</v>
      </c>
      <c r="E612" s="9" t="str">
        <f>+HYPERLINK("http://trademark.i-assist.jp/data/china/image_1882th/76051379.pdf","76051379")</f>
        <v>76051379</v>
      </c>
      <c r="F612" s="6" t="s">
        <v>1715</v>
      </c>
      <c r="G612" s="6" t="s">
        <v>1716</v>
      </c>
      <c r="H612" s="8" t="s">
        <v>1717</v>
      </c>
      <c r="I612" s="14">
        <v>45287</v>
      </c>
    </row>
    <row r="613" spans="1:9" x14ac:dyDescent="0.15">
      <c r="A613" s="5">
        <v>612</v>
      </c>
      <c r="B613" s="6" t="s">
        <v>9</v>
      </c>
      <c r="C613" s="7">
        <v>1882</v>
      </c>
      <c r="D613" s="8">
        <v>45388</v>
      </c>
      <c r="E613" s="9" t="str">
        <f>+HYPERLINK("http://trademark.i-assist.jp/data/china/image_1882th/76051590.pdf","76051590")</f>
        <v>76051590</v>
      </c>
      <c r="F613" s="6" t="s">
        <v>1718</v>
      </c>
      <c r="G613" s="6" t="s">
        <v>1719</v>
      </c>
      <c r="H613" s="8" t="s">
        <v>1720</v>
      </c>
      <c r="I613" s="14">
        <v>45287</v>
      </c>
    </row>
    <row r="614" spans="1:9" x14ac:dyDescent="0.15">
      <c r="A614" s="5">
        <v>613</v>
      </c>
      <c r="B614" s="6" t="s">
        <v>9</v>
      </c>
      <c r="C614" s="7">
        <v>1882</v>
      </c>
      <c r="D614" s="8">
        <v>45388</v>
      </c>
      <c r="E614" s="9" t="str">
        <f>+HYPERLINK("http://trademark.i-assist.jp/data/china/image_1882th/76051903.pdf","76051903")</f>
        <v>76051903</v>
      </c>
      <c r="F614" s="6" t="s">
        <v>1721</v>
      </c>
      <c r="G614" s="6" t="s">
        <v>1722</v>
      </c>
      <c r="H614" s="8" t="s">
        <v>1723</v>
      </c>
      <c r="I614" s="14">
        <v>45287</v>
      </c>
    </row>
    <row r="615" spans="1:9" x14ac:dyDescent="0.15">
      <c r="A615" s="5">
        <v>614</v>
      </c>
      <c r="B615" s="6" t="s">
        <v>9</v>
      </c>
      <c r="C615" s="7">
        <v>1882</v>
      </c>
      <c r="D615" s="8">
        <v>45388</v>
      </c>
      <c r="E615" s="9" t="str">
        <f>+HYPERLINK("http://trademark.i-assist.jp/data/china/image_1882th/76052002.pdf","76052002")</f>
        <v>76052002</v>
      </c>
      <c r="F615" s="6" t="s">
        <v>1724</v>
      </c>
      <c r="G615" s="6" t="s">
        <v>1725</v>
      </c>
      <c r="H615" s="8" t="s">
        <v>1726</v>
      </c>
      <c r="I615" s="14">
        <v>45287</v>
      </c>
    </row>
    <row r="616" spans="1:9" x14ac:dyDescent="0.15">
      <c r="A616" s="5">
        <v>615</v>
      </c>
      <c r="B616" s="6" t="s">
        <v>9</v>
      </c>
      <c r="C616" s="7">
        <v>1882</v>
      </c>
      <c r="D616" s="8">
        <v>45388</v>
      </c>
      <c r="E616" s="9" t="str">
        <f>+HYPERLINK("http://trademark.i-assist.jp/data/china/image_1882th/76052209.pdf","76052209")</f>
        <v>76052209</v>
      </c>
      <c r="F616" s="6" t="s">
        <v>1727</v>
      </c>
      <c r="G616" s="6" t="s">
        <v>1728</v>
      </c>
      <c r="H616" s="8" t="s">
        <v>1729</v>
      </c>
      <c r="I616" s="14">
        <v>45287</v>
      </c>
    </row>
    <row r="617" spans="1:9" x14ac:dyDescent="0.15">
      <c r="A617" s="5">
        <v>616</v>
      </c>
      <c r="B617" s="6" t="s">
        <v>9</v>
      </c>
      <c r="C617" s="7">
        <v>1882</v>
      </c>
      <c r="D617" s="8">
        <v>45388</v>
      </c>
      <c r="E617" s="9" t="str">
        <f>+HYPERLINK("http://trademark.i-assist.jp/data/china/image_1882th/76052424.pdf","76052424")</f>
        <v>76052424</v>
      </c>
      <c r="F617" s="6" t="s">
        <v>1730</v>
      </c>
      <c r="G617" s="6" t="s">
        <v>1731</v>
      </c>
      <c r="H617" s="8" t="s">
        <v>1732</v>
      </c>
      <c r="I617" s="14">
        <v>45287</v>
      </c>
    </row>
    <row r="618" spans="1:9" x14ac:dyDescent="0.15">
      <c r="A618" s="5">
        <v>617</v>
      </c>
      <c r="B618" s="6" t="s">
        <v>9</v>
      </c>
      <c r="C618" s="7">
        <v>1882</v>
      </c>
      <c r="D618" s="8">
        <v>45388</v>
      </c>
      <c r="E618" s="9" t="str">
        <f>+HYPERLINK("http://trademark.i-assist.jp/data/china/image_1882th/76052454.pdf","76052454")</f>
        <v>76052454</v>
      </c>
      <c r="F618" s="6" t="s">
        <v>1733</v>
      </c>
      <c r="G618" s="6" t="s">
        <v>1734</v>
      </c>
      <c r="H618" s="8" t="s">
        <v>1735</v>
      </c>
      <c r="I618" s="14">
        <v>45287</v>
      </c>
    </row>
    <row r="619" spans="1:9" x14ac:dyDescent="0.15">
      <c r="A619" s="5">
        <v>618</v>
      </c>
      <c r="B619" s="6" t="s">
        <v>9</v>
      </c>
      <c r="C619" s="7">
        <v>1882</v>
      </c>
      <c r="D619" s="8">
        <v>45388</v>
      </c>
      <c r="E619" s="9" t="str">
        <f>+HYPERLINK("http://trademark.i-assist.jp/data/china/image_1882th/76053546.pdf","76053546")</f>
        <v>76053546</v>
      </c>
      <c r="F619" s="6" t="s">
        <v>1736</v>
      </c>
      <c r="G619" s="6" t="s">
        <v>1737</v>
      </c>
      <c r="H619" s="8" t="s">
        <v>1738</v>
      </c>
      <c r="I619" s="14">
        <v>45287</v>
      </c>
    </row>
    <row r="620" spans="1:9" x14ac:dyDescent="0.15">
      <c r="A620" s="5">
        <v>619</v>
      </c>
      <c r="B620" s="6" t="s">
        <v>9</v>
      </c>
      <c r="C620" s="7">
        <v>1882</v>
      </c>
      <c r="D620" s="8">
        <v>45388</v>
      </c>
      <c r="E620" s="9" t="str">
        <f>+HYPERLINK("http://trademark.i-assist.jp/data/china/image_1882th/76053661.pdf","76053661")</f>
        <v>76053661</v>
      </c>
      <c r="F620" s="6" t="s">
        <v>1739</v>
      </c>
      <c r="G620" s="6" t="s">
        <v>1740</v>
      </c>
      <c r="H620" s="8" t="s">
        <v>1741</v>
      </c>
      <c r="I620" s="14">
        <v>45287</v>
      </c>
    </row>
    <row r="621" spans="1:9" x14ac:dyDescent="0.15">
      <c r="A621" s="5">
        <v>620</v>
      </c>
      <c r="B621" s="6" t="s">
        <v>9</v>
      </c>
      <c r="C621" s="7">
        <v>1882</v>
      </c>
      <c r="D621" s="8">
        <v>45388</v>
      </c>
      <c r="E621" s="9" t="str">
        <f>+HYPERLINK("http://trademark.i-assist.jp/data/china/image_1882th/76055302.pdf","76055302")</f>
        <v>76055302</v>
      </c>
      <c r="F621" s="6" t="s">
        <v>1742</v>
      </c>
      <c r="G621" s="6" t="s">
        <v>1743</v>
      </c>
      <c r="H621" s="8" t="s">
        <v>1744</v>
      </c>
      <c r="I621" s="14">
        <v>45287</v>
      </c>
    </row>
    <row r="622" spans="1:9" x14ac:dyDescent="0.15">
      <c r="A622" s="5">
        <v>621</v>
      </c>
      <c r="B622" s="6" t="s">
        <v>9</v>
      </c>
      <c r="C622" s="7">
        <v>1882</v>
      </c>
      <c r="D622" s="8">
        <v>45388</v>
      </c>
      <c r="E622" s="9" t="str">
        <f>+HYPERLINK("http://trademark.i-assist.jp/data/china/image_1882th/76055310.pdf","76055310")</f>
        <v>76055310</v>
      </c>
      <c r="F622" s="6" t="s">
        <v>1745</v>
      </c>
      <c r="G622" s="6" t="s">
        <v>1743</v>
      </c>
      <c r="H622" s="8" t="s">
        <v>1746</v>
      </c>
      <c r="I622" s="14">
        <v>45287</v>
      </c>
    </row>
    <row r="623" spans="1:9" x14ac:dyDescent="0.15">
      <c r="A623" s="5">
        <v>622</v>
      </c>
      <c r="B623" s="6" t="s">
        <v>9</v>
      </c>
      <c r="C623" s="7">
        <v>1882</v>
      </c>
      <c r="D623" s="8">
        <v>45388</v>
      </c>
      <c r="E623" s="9" t="str">
        <f>+HYPERLINK("http://trademark.i-assist.jp/data/china/image_1882th/76055596.pdf","76055596")</f>
        <v>76055596</v>
      </c>
      <c r="F623" s="6" t="s">
        <v>1747</v>
      </c>
      <c r="G623" s="6" t="s">
        <v>1748</v>
      </c>
      <c r="H623" s="8" t="s">
        <v>1749</v>
      </c>
      <c r="I623" s="14">
        <v>45287</v>
      </c>
    </row>
    <row r="624" spans="1:9" x14ac:dyDescent="0.15">
      <c r="A624" s="5">
        <v>623</v>
      </c>
      <c r="B624" s="6" t="s">
        <v>9</v>
      </c>
      <c r="C624" s="7">
        <v>1882</v>
      </c>
      <c r="D624" s="8">
        <v>45388</v>
      </c>
      <c r="E624" s="9" t="str">
        <f>+HYPERLINK("http://trademark.i-assist.jp/data/china/image_1882th/76055706.pdf","76055706")</f>
        <v>76055706</v>
      </c>
      <c r="F624" s="6" t="s">
        <v>1750</v>
      </c>
      <c r="G624" s="6" t="s">
        <v>1751</v>
      </c>
      <c r="H624" s="8" t="s">
        <v>1752</v>
      </c>
      <c r="I624" s="14">
        <v>45287</v>
      </c>
    </row>
    <row r="625" spans="1:9" x14ac:dyDescent="0.15">
      <c r="A625" s="5">
        <v>624</v>
      </c>
      <c r="B625" s="6" t="s">
        <v>9</v>
      </c>
      <c r="C625" s="7">
        <v>1882</v>
      </c>
      <c r="D625" s="8">
        <v>45388</v>
      </c>
      <c r="E625" s="9" t="str">
        <f>+HYPERLINK("http://trademark.i-assist.jp/data/china/image_1882th/76055892.pdf","76055892")</f>
        <v>76055892</v>
      </c>
      <c r="F625" s="6" t="s">
        <v>1753</v>
      </c>
      <c r="G625" s="6" t="s">
        <v>1754</v>
      </c>
      <c r="H625" s="8" t="s">
        <v>1755</v>
      </c>
      <c r="I625" s="14">
        <v>45287</v>
      </c>
    </row>
    <row r="626" spans="1:9" x14ac:dyDescent="0.15">
      <c r="A626" s="5">
        <v>625</v>
      </c>
      <c r="B626" s="6" t="s">
        <v>9</v>
      </c>
      <c r="C626" s="7">
        <v>1882</v>
      </c>
      <c r="D626" s="8">
        <v>45388</v>
      </c>
      <c r="E626" s="9" t="str">
        <f>+HYPERLINK("http://trademark.i-assist.jp/data/china/image_1882th/76056827.pdf","76056827")</f>
        <v>76056827</v>
      </c>
      <c r="F626" s="6" t="s">
        <v>1756</v>
      </c>
      <c r="G626" s="6" t="s">
        <v>1757</v>
      </c>
      <c r="H626" s="8" t="s">
        <v>1758</v>
      </c>
      <c r="I626" s="14">
        <v>45287</v>
      </c>
    </row>
    <row r="627" spans="1:9" x14ac:dyDescent="0.15">
      <c r="A627" s="5">
        <v>626</v>
      </c>
      <c r="B627" s="6" t="s">
        <v>9</v>
      </c>
      <c r="C627" s="7">
        <v>1882</v>
      </c>
      <c r="D627" s="8">
        <v>45388</v>
      </c>
      <c r="E627" s="9" t="str">
        <f>+HYPERLINK("http://trademark.i-assist.jp/data/china/image_1882th/76056959.pdf","76056959")</f>
        <v>76056959</v>
      </c>
      <c r="F627" s="6" t="s">
        <v>1691</v>
      </c>
      <c r="G627" s="6" t="s">
        <v>1692</v>
      </c>
      <c r="H627" s="8" t="s">
        <v>1759</v>
      </c>
      <c r="I627" s="14">
        <v>45287</v>
      </c>
    </row>
    <row r="628" spans="1:9" x14ac:dyDescent="0.15">
      <c r="A628" s="5">
        <v>627</v>
      </c>
      <c r="B628" s="6" t="s">
        <v>9</v>
      </c>
      <c r="C628" s="7">
        <v>1882</v>
      </c>
      <c r="D628" s="8">
        <v>45388</v>
      </c>
      <c r="E628" s="9" t="str">
        <f>+HYPERLINK("http://trademark.i-assist.jp/data/china/image_1882th/76057764.pdf","76057764")</f>
        <v>76057764</v>
      </c>
      <c r="F628" s="6" t="s">
        <v>1760</v>
      </c>
      <c r="G628" s="6" t="s">
        <v>1761</v>
      </c>
      <c r="H628" s="8" t="s">
        <v>1762</v>
      </c>
      <c r="I628" s="14">
        <v>45287</v>
      </c>
    </row>
    <row r="629" spans="1:9" x14ac:dyDescent="0.15">
      <c r="A629" s="5">
        <v>628</v>
      </c>
      <c r="B629" s="6" t="s">
        <v>9</v>
      </c>
      <c r="C629" s="7">
        <v>1882</v>
      </c>
      <c r="D629" s="8">
        <v>45388</v>
      </c>
      <c r="E629" s="9" t="str">
        <f>+HYPERLINK("http://trademark.i-assist.jp/data/china/image_1882th/76058228.pdf","76058228")</f>
        <v>76058228</v>
      </c>
      <c r="F629" s="6" t="s">
        <v>1763</v>
      </c>
      <c r="G629" s="6" t="s">
        <v>1678</v>
      </c>
      <c r="H629" s="8" t="s">
        <v>1764</v>
      </c>
      <c r="I629" s="14">
        <v>45287</v>
      </c>
    </row>
    <row r="630" spans="1:9" x14ac:dyDescent="0.15">
      <c r="A630" s="5">
        <v>629</v>
      </c>
      <c r="B630" s="6" t="s">
        <v>9</v>
      </c>
      <c r="C630" s="7">
        <v>1882</v>
      </c>
      <c r="D630" s="8">
        <v>45388</v>
      </c>
      <c r="E630" s="9" t="str">
        <f>+HYPERLINK("http://trademark.i-assist.jp/data/china/image_1882th/76060077.pdf","76060077")</f>
        <v>76060077</v>
      </c>
      <c r="F630" s="6" t="s">
        <v>1765</v>
      </c>
      <c r="G630" s="6" t="s">
        <v>1766</v>
      </c>
      <c r="H630" s="8" t="s">
        <v>1767</v>
      </c>
      <c r="I630" s="14">
        <v>45287</v>
      </c>
    </row>
    <row r="631" spans="1:9" x14ac:dyDescent="0.15">
      <c r="A631" s="5">
        <v>630</v>
      </c>
      <c r="B631" s="6" t="s">
        <v>9</v>
      </c>
      <c r="C631" s="7">
        <v>1882</v>
      </c>
      <c r="D631" s="8">
        <v>45388</v>
      </c>
      <c r="E631" s="9" t="str">
        <f>+HYPERLINK("http://trademark.i-assist.jp/data/china/image_1882th/76060116.pdf","76060116")</f>
        <v>76060116</v>
      </c>
      <c r="F631" s="6" t="s">
        <v>1768</v>
      </c>
      <c r="G631" s="6" t="s">
        <v>1769</v>
      </c>
      <c r="H631" s="8" t="s">
        <v>1770</v>
      </c>
      <c r="I631" s="14">
        <v>45287</v>
      </c>
    </row>
    <row r="632" spans="1:9" x14ac:dyDescent="0.15">
      <c r="A632" s="5">
        <v>631</v>
      </c>
      <c r="B632" s="6" t="s">
        <v>9</v>
      </c>
      <c r="C632" s="7">
        <v>1882</v>
      </c>
      <c r="D632" s="8">
        <v>45388</v>
      </c>
      <c r="E632" s="9" t="str">
        <f>+HYPERLINK("http://trademark.i-assist.jp/data/china/image_1882th/76060698.pdf","76060698")</f>
        <v>76060698</v>
      </c>
      <c r="F632" s="6" t="s">
        <v>1771</v>
      </c>
      <c r="G632" s="6" t="s">
        <v>1698</v>
      </c>
      <c r="H632" s="8" t="s">
        <v>1772</v>
      </c>
      <c r="I632" s="14">
        <v>45287</v>
      </c>
    </row>
    <row r="633" spans="1:9" x14ac:dyDescent="0.15">
      <c r="A633" s="5">
        <v>632</v>
      </c>
      <c r="B633" s="6" t="s">
        <v>9</v>
      </c>
      <c r="C633" s="7">
        <v>1882</v>
      </c>
      <c r="D633" s="8">
        <v>45388</v>
      </c>
      <c r="E633" s="9" t="str">
        <f>+HYPERLINK("http://trademark.i-assist.jp/data/china/image_1882th/76060739.pdf","76060739")</f>
        <v>76060739</v>
      </c>
      <c r="F633" s="6" t="s">
        <v>1709</v>
      </c>
      <c r="G633" s="6" t="s">
        <v>1710</v>
      </c>
      <c r="H633" s="8" t="s">
        <v>1773</v>
      </c>
      <c r="I633" s="14">
        <v>45287</v>
      </c>
    </row>
    <row r="634" spans="1:9" x14ac:dyDescent="0.15">
      <c r="A634" s="5">
        <v>633</v>
      </c>
      <c r="B634" s="6" t="s">
        <v>9</v>
      </c>
      <c r="C634" s="7">
        <v>1882</v>
      </c>
      <c r="D634" s="8">
        <v>45388</v>
      </c>
      <c r="E634" s="9" t="str">
        <f>+HYPERLINK("http://trademark.i-assist.jp/data/china/image_1882th/76061287.pdf","76061287")</f>
        <v>76061287</v>
      </c>
      <c r="F634" s="6" t="s">
        <v>1774</v>
      </c>
      <c r="G634" s="6" t="s">
        <v>1775</v>
      </c>
      <c r="H634" s="8" t="s">
        <v>1776</v>
      </c>
      <c r="I634" s="14">
        <v>45287</v>
      </c>
    </row>
    <row r="635" spans="1:9" x14ac:dyDescent="0.15">
      <c r="A635" s="5">
        <v>634</v>
      </c>
      <c r="B635" s="6" t="s">
        <v>9</v>
      </c>
      <c r="C635" s="7">
        <v>1882</v>
      </c>
      <c r="D635" s="8">
        <v>45388</v>
      </c>
      <c r="E635" s="9" t="str">
        <f>+HYPERLINK("http://trademark.i-assist.jp/data/china/image_1882th/76061511.pdf","76061511")</f>
        <v>76061511</v>
      </c>
      <c r="F635" s="6" t="s">
        <v>1777</v>
      </c>
      <c r="G635" s="6" t="s">
        <v>1778</v>
      </c>
      <c r="H635" s="8" t="s">
        <v>1779</v>
      </c>
      <c r="I635" s="14">
        <v>45287</v>
      </c>
    </row>
    <row r="636" spans="1:9" x14ac:dyDescent="0.15">
      <c r="A636" s="5">
        <v>635</v>
      </c>
      <c r="B636" s="6" t="s">
        <v>9</v>
      </c>
      <c r="C636" s="7">
        <v>1882</v>
      </c>
      <c r="D636" s="8">
        <v>45388</v>
      </c>
      <c r="E636" s="9" t="str">
        <f>+HYPERLINK("http://trademark.i-assist.jp/data/china/image_1882th/76062110.pdf","76062110")</f>
        <v>76062110</v>
      </c>
      <c r="F636" s="6" t="s">
        <v>1780</v>
      </c>
      <c r="G636" s="6" t="s">
        <v>1781</v>
      </c>
      <c r="H636" s="8" t="s">
        <v>1782</v>
      </c>
      <c r="I636" s="14">
        <v>45287</v>
      </c>
    </row>
    <row r="637" spans="1:9" x14ac:dyDescent="0.15">
      <c r="A637" s="5">
        <v>636</v>
      </c>
      <c r="B637" s="6" t="s">
        <v>9</v>
      </c>
      <c r="C637" s="7">
        <v>1882</v>
      </c>
      <c r="D637" s="8">
        <v>45388</v>
      </c>
      <c r="E637" s="9" t="str">
        <f>+HYPERLINK("http://trademark.i-assist.jp/data/china/image_1882th/76062191.pdf","76062191")</f>
        <v>76062191</v>
      </c>
      <c r="F637" s="6" t="s">
        <v>1783</v>
      </c>
      <c r="G637" s="6" t="s">
        <v>1784</v>
      </c>
      <c r="H637" s="8" t="s">
        <v>1785</v>
      </c>
      <c r="I637" s="14">
        <v>45287</v>
      </c>
    </row>
    <row r="638" spans="1:9" x14ac:dyDescent="0.15">
      <c r="A638" s="5">
        <v>637</v>
      </c>
      <c r="B638" s="6" t="s">
        <v>9</v>
      </c>
      <c r="C638" s="7">
        <v>1882</v>
      </c>
      <c r="D638" s="8">
        <v>45388</v>
      </c>
      <c r="E638" s="9" t="str">
        <f>+HYPERLINK("http://trademark.i-assist.jp/data/china/image_1882th/76063576.pdf","76063576")</f>
        <v>76063576</v>
      </c>
      <c r="F638" s="6" t="s">
        <v>1786</v>
      </c>
      <c r="G638" s="6" t="s">
        <v>1664</v>
      </c>
      <c r="H638" s="8" t="s">
        <v>1787</v>
      </c>
      <c r="I638" s="14">
        <v>45287</v>
      </c>
    </row>
    <row r="639" spans="1:9" x14ac:dyDescent="0.15">
      <c r="A639" s="5">
        <v>638</v>
      </c>
      <c r="B639" s="6" t="s">
        <v>9</v>
      </c>
      <c r="C639" s="7">
        <v>1882</v>
      </c>
      <c r="D639" s="8">
        <v>45388</v>
      </c>
      <c r="E639" s="9" t="str">
        <f>+HYPERLINK("http://trademark.i-assist.jp/data/china/image_1882th/76064041.pdf","76064041")</f>
        <v>76064041</v>
      </c>
      <c r="F639" s="6" t="s">
        <v>26</v>
      </c>
      <c r="G639" s="6" t="s">
        <v>1788</v>
      </c>
      <c r="H639" s="8" t="s">
        <v>1789</v>
      </c>
      <c r="I639" s="14">
        <v>45288</v>
      </c>
    </row>
    <row r="640" spans="1:9" x14ac:dyDescent="0.15">
      <c r="A640" s="5">
        <v>639</v>
      </c>
      <c r="B640" s="6" t="s">
        <v>9</v>
      </c>
      <c r="C640" s="7">
        <v>1882</v>
      </c>
      <c r="D640" s="8">
        <v>45388</v>
      </c>
      <c r="E640" s="9" t="str">
        <f>+HYPERLINK("http://trademark.i-assist.jp/data/china/image_1882th/76064977.pdf","76064977")</f>
        <v>76064977</v>
      </c>
      <c r="F640" s="6" t="s">
        <v>1790</v>
      </c>
      <c r="G640" s="6" t="s">
        <v>1791</v>
      </c>
      <c r="H640" s="8" t="s">
        <v>1792</v>
      </c>
      <c r="I640" s="14">
        <v>45288</v>
      </c>
    </row>
    <row r="641" spans="1:9" x14ac:dyDescent="0.15">
      <c r="A641" s="5">
        <v>640</v>
      </c>
      <c r="B641" s="6" t="s">
        <v>9</v>
      </c>
      <c r="C641" s="7">
        <v>1882</v>
      </c>
      <c r="D641" s="8">
        <v>45388</v>
      </c>
      <c r="E641" s="9" t="str">
        <f>+HYPERLINK("http://trademark.i-assist.jp/data/china/image_1882th/76065072.pdf","76065072")</f>
        <v>76065072</v>
      </c>
      <c r="F641" s="6" t="s">
        <v>1793</v>
      </c>
      <c r="G641" s="6" t="s">
        <v>1794</v>
      </c>
      <c r="H641" s="8" t="s">
        <v>1795</v>
      </c>
      <c r="I641" s="14">
        <v>45288</v>
      </c>
    </row>
    <row r="642" spans="1:9" x14ac:dyDescent="0.15">
      <c r="A642" s="5">
        <v>641</v>
      </c>
      <c r="B642" s="6" t="s">
        <v>9</v>
      </c>
      <c r="C642" s="7">
        <v>1882</v>
      </c>
      <c r="D642" s="8">
        <v>45388</v>
      </c>
      <c r="E642" s="9" t="str">
        <f>+HYPERLINK("http://trademark.i-assist.jp/data/china/image_1882th/76066422.pdf","76066422")</f>
        <v>76066422</v>
      </c>
      <c r="F642" s="6" t="s">
        <v>1796</v>
      </c>
      <c r="G642" s="6" t="s">
        <v>1797</v>
      </c>
      <c r="H642" s="8" t="s">
        <v>1798</v>
      </c>
      <c r="I642" s="14">
        <v>45288</v>
      </c>
    </row>
    <row r="643" spans="1:9" x14ac:dyDescent="0.15">
      <c r="A643" s="5">
        <v>642</v>
      </c>
      <c r="B643" s="6" t="s">
        <v>9</v>
      </c>
      <c r="C643" s="7">
        <v>1882</v>
      </c>
      <c r="D643" s="8">
        <v>45388</v>
      </c>
      <c r="E643" s="9" t="str">
        <f>+HYPERLINK("http://trademark.i-assist.jp/data/china/image_1882th/76067239.pdf","76067239")</f>
        <v>76067239</v>
      </c>
      <c r="F643" s="6" t="s">
        <v>1799</v>
      </c>
      <c r="G643" s="6" t="s">
        <v>1800</v>
      </c>
      <c r="H643" s="8" t="s">
        <v>1801</v>
      </c>
      <c r="I643" s="14">
        <v>45288</v>
      </c>
    </row>
    <row r="644" spans="1:9" x14ac:dyDescent="0.15">
      <c r="A644" s="5">
        <v>643</v>
      </c>
      <c r="B644" s="6" t="s">
        <v>9</v>
      </c>
      <c r="C644" s="7">
        <v>1882</v>
      </c>
      <c r="D644" s="8">
        <v>45388</v>
      </c>
      <c r="E644" s="9" t="str">
        <f>+HYPERLINK("http://trademark.i-assist.jp/data/china/image_1882th/76067578.pdf","76067578")</f>
        <v>76067578</v>
      </c>
      <c r="F644" s="6" t="s">
        <v>1802</v>
      </c>
      <c r="G644" s="6" t="s">
        <v>1803</v>
      </c>
      <c r="H644" s="8" t="s">
        <v>1804</v>
      </c>
      <c r="I644" s="14">
        <v>45288</v>
      </c>
    </row>
    <row r="645" spans="1:9" x14ac:dyDescent="0.15">
      <c r="A645" s="5">
        <v>644</v>
      </c>
      <c r="B645" s="6" t="s">
        <v>9</v>
      </c>
      <c r="C645" s="7">
        <v>1882</v>
      </c>
      <c r="D645" s="8">
        <v>45388</v>
      </c>
      <c r="E645" s="9" t="str">
        <f>+HYPERLINK("http://trademark.i-assist.jp/data/china/image_1882th/76067838.pdf","76067838")</f>
        <v>76067838</v>
      </c>
      <c r="F645" s="6" t="s">
        <v>1805</v>
      </c>
      <c r="G645" s="6" t="s">
        <v>1806</v>
      </c>
      <c r="H645" s="8" t="s">
        <v>1807</v>
      </c>
      <c r="I645" s="14">
        <v>45288</v>
      </c>
    </row>
    <row r="646" spans="1:9" x14ac:dyDescent="0.15">
      <c r="A646" s="5">
        <v>645</v>
      </c>
      <c r="B646" s="6" t="s">
        <v>9</v>
      </c>
      <c r="C646" s="7">
        <v>1882</v>
      </c>
      <c r="D646" s="8">
        <v>45388</v>
      </c>
      <c r="E646" s="9" t="str">
        <f>+HYPERLINK("http://trademark.i-assist.jp/data/china/image_1882th/76068199.pdf","76068199")</f>
        <v>76068199</v>
      </c>
      <c r="F646" s="6" t="s">
        <v>1808</v>
      </c>
      <c r="G646" s="6" t="s">
        <v>1809</v>
      </c>
      <c r="H646" s="8" t="s">
        <v>1810</v>
      </c>
      <c r="I646" s="14">
        <v>45288</v>
      </c>
    </row>
    <row r="647" spans="1:9" x14ac:dyDescent="0.15">
      <c r="A647" s="5">
        <v>646</v>
      </c>
      <c r="B647" s="6" t="s">
        <v>9</v>
      </c>
      <c r="C647" s="7">
        <v>1882</v>
      </c>
      <c r="D647" s="8">
        <v>45388</v>
      </c>
      <c r="E647" s="9" t="str">
        <f>+HYPERLINK("http://trademark.i-assist.jp/data/china/image_1882th/76068774.pdf","76068774")</f>
        <v>76068774</v>
      </c>
      <c r="F647" s="6" t="s">
        <v>1811</v>
      </c>
      <c r="G647" s="6" t="s">
        <v>1812</v>
      </c>
      <c r="H647" s="8" t="s">
        <v>1813</v>
      </c>
      <c r="I647" s="14">
        <v>45288</v>
      </c>
    </row>
    <row r="648" spans="1:9" x14ac:dyDescent="0.15">
      <c r="A648" s="5">
        <v>647</v>
      </c>
      <c r="B648" s="6" t="s">
        <v>9</v>
      </c>
      <c r="C648" s="7">
        <v>1882</v>
      </c>
      <c r="D648" s="8">
        <v>45388</v>
      </c>
      <c r="E648" s="9" t="str">
        <f>+HYPERLINK("http://trademark.i-assist.jp/data/china/image_1882th/76070870.pdf","76070870")</f>
        <v>76070870</v>
      </c>
      <c r="F648" s="6" t="s">
        <v>1814</v>
      </c>
      <c r="G648" s="6" t="s">
        <v>1815</v>
      </c>
      <c r="H648" s="8" t="s">
        <v>1816</v>
      </c>
      <c r="I648" s="14">
        <v>45288</v>
      </c>
    </row>
    <row r="649" spans="1:9" x14ac:dyDescent="0.15">
      <c r="A649" s="5">
        <v>648</v>
      </c>
      <c r="B649" s="6" t="s">
        <v>9</v>
      </c>
      <c r="C649" s="7">
        <v>1882</v>
      </c>
      <c r="D649" s="8">
        <v>45388</v>
      </c>
      <c r="E649" s="9" t="str">
        <f>+HYPERLINK("http://trademark.i-assist.jp/data/china/image_1882th/76070991.pdf","76070991")</f>
        <v>76070991</v>
      </c>
      <c r="F649" s="6" t="s">
        <v>1817</v>
      </c>
      <c r="G649" s="6" t="s">
        <v>1818</v>
      </c>
      <c r="H649" s="8" t="s">
        <v>1819</v>
      </c>
      <c r="I649" s="14">
        <v>45288</v>
      </c>
    </row>
    <row r="650" spans="1:9" x14ac:dyDescent="0.15">
      <c r="A650" s="5">
        <v>649</v>
      </c>
      <c r="B650" s="6" t="s">
        <v>9</v>
      </c>
      <c r="C650" s="7">
        <v>1882</v>
      </c>
      <c r="D650" s="8">
        <v>45388</v>
      </c>
      <c r="E650" s="9" t="str">
        <f>+HYPERLINK("http://trademark.i-assist.jp/data/china/image_1882th/76071322.pdf","76071322")</f>
        <v>76071322</v>
      </c>
      <c r="F650" s="6" t="s">
        <v>1820</v>
      </c>
      <c r="G650" s="6" t="s">
        <v>1821</v>
      </c>
      <c r="H650" s="8" t="s">
        <v>1822</v>
      </c>
      <c r="I650" s="14">
        <v>45288</v>
      </c>
    </row>
    <row r="651" spans="1:9" x14ac:dyDescent="0.15">
      <c r="A651" s="5">
        <v>650</v>
      </c>
      <c r="B651" s="6" t="s">
        <v>9</v>
      </c>
      <c r="C651" s="7">
        <v>1882</v>
      </c>
      <c r="D651" s="8">
        <v>45388</v>
      </c>
      <c r="E651" s="9" t="str">
        <f>+HYPERLINK("http://trademark.i-assist.jp/data/china/image_1882th/76071847.pdf","76071847")</f>
        <v>76071847</v>
      </c>
      <c r="F651" s="6" t="s">
        <v>1823</v>
      </c>
      <c r="G651" s="6" t="s">
        <v>1824</v>
      </c>
      <c r="H651" s="8" t="s">
        <v>1825</v>
      </c>
      <c r="I651" s="14">
        <v>45288</v>
      </c>
    </row>
    <row r="652" spans="1:9" x14ac:dyDescent="0.15">
      <c r="A652" s="5">
        <v>651</v>
      </c>
      <c r="B652" s="6" t="s">
        <v>9</v>
      </c>
      <c r="C652" s="7">
        <v>1882</v>
      </c>
      <c r="D652" s="8">
        <v>45388</v>
      </c>
      <c r="E652" s="9" t="str">
        <f>+HYPERLINK("http://trademark.i-assist.jp/data/china/image_1882th/76071952.pdf","76071952")</f>
        <v>76071952</v>
      </c>
      <c r="F652" s="6" t="s">
        <v>1826</v>
      </c>
      <c r="G652" s="6" t="s">
        <v>1803</v>
      </c>
      <c r="H652" s="8" t="s">
        <v>1827</v>
      </c>
      <c r="I652" s="14">
        <v>45288</v>
      </c>
    </row>
    <row r="653" spans="1:9" x14ac:dyDescent="0.15">
      <c r="A653" s="5">
        <v>652</v>
      </c>
      <c r="B653" s="6" t="s">
        <v>9</v>
      </c>
      <c r="C653" s="7">
        <v>1882</v>
      </c>
      <c r="D653" s="8">
        <v>45388</v>
      </c>
      <c r="E653" s="9" t="str">
        <f>+HYPERLINK("http://trademark.i-assist.jp/data/china/image_1882th/76072774.pdf","76072774")</f>
        <v>76072774</v>
      </c>
      <c r="F653" s="6" t="s">
        <v>1828</v>
      </c>
      <c r="G653" s="6" t="s">
        <v>1829</v>
      </c>
      <c r="H653" s="8" t="s">
        <v>1830</v>
      </c>
      <c r="I653" s="14">
        <v>45288</v>
      </c>
    </row>
    <row r="654" spans="1:9" x14ac:dyDescent="0.15">
      <c r="A654" s="5">
        <v>653</v>
      </c>
      <c r="B654" s="6" t="s">
        <v>9</v>
      </c>
      <c r="C654" s="7">
        <v>1882</v>
      </c>
      <c r="D654" s="8">
        <v>45388</v>
      </c>
      <c r="E654" s="9" t="str">
        <f>+HYPERLINK("http://trademark.i-assist.jp/data/china/image_1882th/76073510.pdf","76073510")</f>
        <v>76073510</v>
      </c>
      <c r="F654" s="6" t="s">
        <v>1831</v>
      </c>
      <c r="G654" s="6" t="s">
        <v>1832</v>
      </c>
      <c r="H654" s="8" t="s">
        <v>1833</v>
      </c>
      <c r="I654" s="14">
        <v>45288</v>
      </c>
    </row>
    <row r="655" spans="1:9" x14ac:dyDescent="0.15">
      <c r="A655" s="5">
        <v>654</v>
      </c>
      <c r="B655" s="6" t="s">
        <v>9</v>
      </c>
      <c r="C655" s="7">
        <v>1882</v>
      </c>
      <c r="D655" s="8">
        <v>45388</v>
      </c>
      <c r="E655" s="9" t="str">
        <f>+HYPERLINK("http://trademark.i-assist.jp/data/china/image_1882th/76073876.pdf","76073876")</f>
        <v>76073876</v>
      </c>
      <c r="F655" s="6" t="s">
        <v>1834</v>
      </c>
      <c r="G655" s="6" t="s">
        <v>1791</v>
      </c>
      <c r="H655" s="8" t="s">
        <v>1835</v>
      </c>
      <c r="I655" s="14">
        <v>45288</v>
      </c>
    </row>
    <row r="656" spans="1:9" x14ac:dyDescent="0.15">
      <c r="A656" s="5">
        <v>655</v>
      </c>
      <c r="B656" s="6" t="s">
        <v>9</v>
      </c>
      <c r="C656" s="7">
        <v>1882</v>
      </c>
      <c r="D656" s="8">
        <v>45388</v>
      </c>
      <c r="E656" s="9" t="str">
        <f>+HYPERLINK("http://trademark.i-assist.jp/data/china/image_1882th/76074573.pdf","76074573")</f>
        <v>76074573</v>
      </c>
      <c r="F656" s="6" t="s">
        <v>1836</v>
      </c>
      <c r="G656" s="6" t="s">
        <v>1837</v>
      </c>
      <c r="H656" s="8" t="s">
        <v>1838</v>
      </c>
      <c r="I656" s="14">
        <v>45288</v>
      </c>
    </row>
    <row r="657" spans="1:9" x14ac:dyDescent="0.15">
      <c r="A657" s="5">
        <v>656</v>
      </c>
      <c r="B657" s="6" t="s">
        <v>9</v>
      </c>
      <c r="C657" s="7">
        <v>1882</v>
      </c>
      <c r="D657" s="8">
        <v>45388</v>
      </c>
      <c r="E657" s="9" t="str">
        <f>+HYPERLINK("http://trademark.i-assist.jp/data/china/image_1882th/76075144.pdf","76075144")</f>
        <v>76075144</v>
      </c>
      <c r="F657" s="6" t="s">
        <v>1839</v>
      </c>
      <c r="G657" s="6" t="s">
        <v>1815</v>
      </c>
      <c r="H657" s="8" t="s">
        <v>1840</v>
      </c>
      <c r="I657" s="14">
        <v>45288</v>
      </c>
    </row>
    <row r="658" spans="1:9" x14ac:dyDescent="0.15">
      <c r="A658" s="5">
        <v>657</v>
      </c>
      <c r="B658" s="6" t="s">
        <v>9</v>
      </c>
      <c r="C658" s="7">
        <v>1882</v>
      </c>
      <c r="D658" s="8">
        <v>45388</v>
      </c>
      <c r="E658" s="9" t="str">
        <f>+HYPERLINK("http://trademark.i-assist.jp/data/china/image_1882th/76075797.pdf","76075797")</f>
        <v>76075797</v>
      </c>
      <c r="F658" s="6" t="s">
        <v>1841</v>
      </c>
      <c r="G658" s="6" t="s">
        <v>1842</v>
      </c>
      <c r="H658" s="8" t="s">
        <v>1843</v>
      </c>
      <c r="I658" s="14">
        <v>45288</v>
      </c>
    </row>
    <row r="659" spans="1:9" x14ac:dyDescent="0.15">
      <c r="A659" s="5">
        <v>658</v>
      </c>
      <c r="B659" s="6" t="s">
        <v>9</v>
      </c>
      <c r="C659" s="7">
        <v>1882</v>
      </c>
      <c r="D659" s="8">
        <v>45388</v>
      </c>
      <c r="E659" s="9" t="str">
        <f>+HYPERLINK("http://trademark.i-assist.jp/data/china/image_1882th/76076083.pdf","76076083")</f>
        <v>76076083</v>
      </c>
      <c r="F659" s="6" t="s">
        <v>1844</v>
      </c>
      <c r="G659" s="6" t="s">
        <v>1845</v>
      </c>
      <c r="H659" s="8" t="s">
        <v>1846</v>
      </c>
      <c r="I659" s="14">
        <v>45288</v>
      </c>
    </row>
    <row r="660" spans="1:9" x14ac:dyDescent="0.15">
      <c r="A660" s="5">
        <v>659</v>
      </c>
      <c r="B660" s="6" t="s">
        <v>9</v>
      </c>
      <c r="C660" s="7">
        <v>1882</v>
      </c>
      <c r="D660" s="8">
        <v>45388</v>
      </c>
      <c r="E660" s="9" t="str">
        <f>+HYPERLINK("http://trademark.i-assist.jp/data/china/image_1882th/76076329.pdf","76076329")</f>
        <v>76076329</v>
      </c>
      <c r="F660" s="6" t="s">
        <v>1847</v>
      </c>
      <c r="G660" s="6" t="s">
        <v>1848</v>
      </c>
      <c r="H660" s="8" t="s">
        <v>1849</v>
      </c>
      <c r="I660" s="14">
        <v>45288</v>
      </c>
    </row>
    <row r="661" spans="1:9" x14ac:dyDescent="0.15">
      <c r="A661" s="5">
        <v>660</v>
      </c>
      <c r="B661" s="6" t="s">
        <v>9</v>
      </c>
      <c r="C661" s="7">
        <v>1882</v>
      </c>
      <c r="D661" s="8">
        <v>45388</v>
      </c>
      <c r="E661" s="9" t="str">
        <f>+HYPERLINK("http://trademark.i-assist.jp/data/china/image_1882th/76076342.pdf","76076342")</f>
        <v>76076342</v>
      </c>
      <c r="F661" s="6" t="s">
        <v>1850</v>
      </c>
      <c r="G661" s="6" t="s">
        <v>1851</v>
      </c>
      <c r="H661" s="8" t="s">
        <v>1852</v>
      </c>
      <c r="I661" s="14">
        <v>45288</v>
      </c>
    </row>
    <row r="662" spans="1:9" x14ac:dyDescent="0.15">
      <c r="A662" s="5">
        <v>661</v>
      </c>
      <c r="B662" s="6" t="s">
        <v>9</v>
      </c>
      <c r="C662" s="7">
        <v>1882</v>
      </c>
      <c r="D662" s="8">
        <v>45388</v>
      </c>
      <c r="E662" s="9" t="str">
        <f>+HYPERLINK("http://trademark.i-assist.jp/data/china/image_1882th/76076696.pdf","76076696")</f>
        <v>76076696</v>
      </c>
      <c r="F662" s="6" t="s">
        <v>1853</v>
      </c>
      <c r="G662" s="6" t="s">
        <v>1854</v>
      </c>
      <c r="H662" s="8" t="s">
        <v>1855</v>
      </c>
      <c r="I662" s="14">
        <v>45288</v>
      </c>
    </row>
    <row r="663" spans="1:9" x14ac:dyDescent="0.15">
      <c r="A663" s="5">
        <v>662</v>
      </c>
      <c r="B663" s="6" t="s">
        <v>9</v>
      </c>
      <c r="C663" s="7">
        <v>1882</v>
      </c>
      <c r="D663" s="8">
        <v>45388</v>
      </c>
      <c r="E663" s="9" t="str">
        <f>+HYPERLINK("http://trademark.i-assist.jp/data/china/image_1882th/76076755.pdf","76076755")</f>
        <v>76076755</v>
      </c>
      <c r="F663" s="6" t="s">
        <v>1856</v>
      </c>
      <c r="G663" s="6" t="s">
        <v>1857</v>
      </c>
      <c r="H663" s="8" t="s">
        <v>1858</v>
      </c>
      <c r="I663" s="14">
        <v>45288</v>
      </c>
    </row>
    <row r="664" spans="1:9" x14ac:dyDescent="0.15">
      <c r="A664" s="5">
        <v>663</v>
      </c>
      <c r="B664" s="6" t="s">
        <v>9</v>
      </c>
      <c r="C664" s="7">
        <v>1882</v>
      </c>
      <c r="D664" s="8">
        <v>45388</v>
      </c>
      <c r="E664" s="9" t="str">
        <f>+HYPERLINK("http://trademark.i-assist.jp/data/china/image_1882th/76076915.pdf","76076915")</f>
        <v>76076915</v>
      </c>
      <c r="F664" s="6" t="s">
        <v>1859</v>
      </c>
      <c r="G664" s="6" t="s">
        <v>1860</v>
      </c>
      <c r="H664" s="8" t="s">
        <v>1861</v>
      </c>
      <c r="I664" s="14">
        <v>45288</v>
      </c>
    </row>
    <row r="665" spans="1:9" x14ac:dyDescent="0.15">
      <c r="A665" s="5">
        <v>664</v>
      </c>
      <c r="B665" s="6" t="s">
        <v>9</v>
      </c>
      <c r="C665" s="7">
        <v>1882</v>
      </c>
      <c r="D665" s="8">
        <v>45388</v>
      </c>
      <c r="E665" s="9" t="str">
        <f>+HYPERLINK("http://trademark.i-assist.jp/data/china/image_1882th/76077205.pdf","76077205")</f>
        <v>76077205</v>
      </c>
      <c r="F665" s="6" t="s">
        <v>1862</v>
      </c>
      <c r="G665" s="6" t="s">
        <v>1863</v>
      </c>
      <c r="H665" s="8" t="s">
        <v>1864</v>
      </c>
      <c r="I665" s="14">
        <v>45288</v>
      </c>
    </row>
    <row r="666" spans="1:9" x14ac:dyDescent="0.15">
      <c r="A666" s="5">
        <v>665</v>
      </c>
      <c r="B666" s="6" t="s">
        <v>9</v>
      </c>
      <c r="C666" s="7">
        <v>1882</v>
      </c>
      <c r="D666" s="8">
        <v>45388</v>
      </c>
      <c r="E666" s="9" t="str">
        <f>+HYPERLINK("http://trademark.i-assist.jp/data/china/image_1882th/76077286.pdf","76077286")</f>
        <v>76077286</v>
      </c>
      <c r="F666" s="6" t="s">
        <v>1865</v>
      </c>
      <c r="G666" s="6" t="s">
        <v>1866</v>
      </c>
      <c r="H666" s="8" t="s">
        <v>1867</v>
      </c>
      <c r="I666" s="14">
        <v>45288</v>
      </c>
    </row>
    <row r="667" spans="1:9" x14ac:dyDescent="0.15">
      <c r="A667" s="5">
        <v>666</v>
      </c>
      <c r="B667" s="6" t="s">
        <v>9</v>
      </c>
      <c r="C667" s="7">
        <v>1882</v>
      </c>
      <c r="D667" s="8">
        <v>45388</v>
      </c>
      <c r="E667" s="9" t="str">
        <f>+HYPERLINK("http://trademark.i-assist.jp/data/china/image_1882th/76078081.pdf","76078081")</f>
        <v>76078081</v>
      </c>
      <c r="F667" s="6" t="s">
        <v>26</v>
      </c>
      <c r="G667" s="6" t="s">
        <v>1868</v>
      </c>
      <c r="H667" s="8" t="s">
        <v>1869</v>
      </c>
      <c r="I667" s="14">
        <v>45288</v>
      </c>
    </row>
    <row r="668" spans="1:9" x14ac:dyDescent="0.15">
      <c r="A668" s="5">
        <v>667</v>
      </c>
      <c r="B668" s="6" t="s">
        <v>9</v>
      </c>
      <c r="C668" s="7">
        <v>1882</v>
      </c>
      <c r="D668" s="8">
        <v>45388</v>
      </c>
      <c r="E668" s="9" t="str">
        <f>+HYPERLINK("http://trademark.i-assist.jp/data/china/image_1882th/76078544.pdf","76078544")</f>
        <v>76078544</v>
      </c>
      <c r="F668" s="6" t="s">
        <v>1870</v>
      </c>
      <c r="G668" s="6" t="s">
        <v>1871</v>
      </c>
      <c r="H668" s="8" t="s">
        <v>1872</v>
      </c>
      <c r="I668" s="14">
        <v>45288</v>
      </c>
    </row>
    <row r="669" spans="1:9" x14ac:dyDescent="0.15">
      <c r="A669" s="5">
        <v>668</v>
      </c>
      <c r="B669" s="6" t="s">
        <v>9</v>
      </c>
      <c r="C669" s="7">
        <v>1882</v>
      </c>
      <c r="D669" s="8">
        <v>45388</v>
      </c>
      <c r="E669" s="9" t="str">
        <f>+HYPERLINK("http://trademark.i-assist.jp/data/china/image_1882th/76078607.pdf","76078607")</f>
        <v>76078607</v>
      </c>
      <c r="F669" s="6" t="s">
        <v>1873</v>
      </c>
      <c r="G669" s="6" t="s">
        <v>1874</v>
      </c>
      <c r="H669" s="8" t="s">
        <v>1875</v>
      </c>
      <c r="I669" s="14">
        <v>45288</v>
      </c>
    </row>
    <row r="670" spans="1:9" x14ac:dyDescent="0.15">
      <c r="A670" s="5">
        <v>669</v>
      </c>
      <c r="B670" s="6" t="s">
        <v>9</v>
      </c>
      <c r="C670" s="7">
        <v>1882</v>
      </c>
      <c r="D670" s="8">
        <v>45388</v>
      </c>
      <c r="E670" s="9" t="str">
        <f>+HYPERLINK("http://trademark.i-assist.jp/data/china/image_1882th/76078813.pdf","76078813")</f>
        <v>76078813</v>
      </c>
      <c r="F670" s="6" t="s">
        <v>1876</v>
      </c>
      <c r="G670" s="6" t="s">
        <v>1877</v>
      </c>
      <c r="H670" s="8" t="s">
        <v>1878</v>
      </c>
      <c r="I670" s="14">
        <v>45288</v>
      </c>
    </row>
    <row r="671" spans="1:9" x14ac:dyDescent="0.15">
      <c r="A671" s="5">
        <v>670</v>
      </c>
      <c r="B671" s="6" t="s">
        <v>9</v>
      </c>
      <c r="C671" s="7">
        <v>1882</v>
      </c>
      <c r="D671" s="8">
        <v>45388</v>
      </c>
      <c r="E671" s="9" t="str">
        <f>+HYPERLINK("http://trademark.i-assist.jp/data/china/image_1882th/76078901.pdf","76078901")</f>
        <v>76078901</v>
      </c>
      <c r="F671" s="6" t="s">
        <v>1879</v>
      </c>
      <c r="G671" s="6" t="s">
        <v>1880</v>
      </c>
      <c r="H671" s="8" t="s">
        <v>1881</v>
      </c>
      <c r="I671" s="14">
        <v>45288</v>
      </c>
    </row>
    <row r="672" spans="1:9" x14ac:dyDescent="0.15">
      <c r="A672" s="5">
        <v>671</v>
      </c>
      <c r="B672" s="6" t="s">
        <v>9</v>
      </c>
      <c r="C672" s="7">
        <v>1882</v>
      </c>
      <c r="D672" s="8">
        <v>45388</v>
      </c>
      <c r="E672" s="9" t="str">
        <f>+HYPERLINK("http://trademark.i-assist.jp/data/china/image_1882th/76080641.pdf","76080641")</f>
        <v>76080641</v>
      </c>
      <c r="F672" s="6" t="s">
        <v>1882</v>
      </c>
      <c r="G672" s="6" t="s">
        <v>1883</v>
      </c>
      <c r="H672" s="8" t="s">
        <v>1884</v>
      </c>
      <c r="I672" s="14">
        <v>45288</v>
      </c>
    </row>
    <row r="673" spans="1:9" x14ac:dyDescent="0.15">
      <c r="A673" s="5">
        <v>672</v>
      </c>
      <c r="B673" s="6" t="s">
        <v>9</v>
      </c>
      <c r="C673" s="7">
        <v>1882</v>
      </c>
      <c r="D673" s="8">
        <v>45388</v>
      </c>
      <c r="E673" s="9" t="str">
        <f>+HYPERLINK("http://trademark.i-assist.jp/data/china/image_1882th/76080698.pdf","76080698")</f>
        <v>76080698</v>
      </c>
      <c r="F673" s="6" t="s">
        <v>1885</v>
      </c>
      <c r="G673" s="6" t="s">
        <v>1886</v>
      </c>
      <c r="H673" s="8" t="s">
        <v>1887</v>
      </c>
      <c r="I673" s="14">
        <v>45288</v>
      </c>
    </row>
    <row r="674" spans="1:9" x14ac:dyDescent="0.15">
      <c r="A674" s="5">
        <v>673</v>
      </c>
      <c r="B674" s="6" t="s">
        <v>9</v>
      </c>
      <c r="C674" s="7">
        <v>1882</v>
      </c>
      <c r="D674" s="8">
        <v>45388</v>
      </c>
      <c r="E674" s="9" t="str">
        <f>+HYPERLINK("http://trademark.i-assist.jp/data/china/image_1882th/76081012.pdf","76081012")</f>
        <v>76081012</v>
      </c>
      <c r="F674" s="6" t="s">
        <v>1888</v>
      </c>
      <c r="G674" s="6" t="s">
        <v>1889</v>
      </c>
      <c r="H674" s="8" t="s">
        <v>1890</v>
      </c>
      <c r="I674" s="14">
        <v>45288</v>
      </c>
    </row>
    <row r="675" spans="1:9" x14ac:dyDescent="0.15">
      <c r="A675" s="5">
        <v>674</v>
      </c>
      <c r="B675" s="6" t="s">
        <v>9</v>
      </c>
      <c r="C675" s="7">
        <v>1882</v>
      </c>
      <c r="D675" s="8">
        <v>45388</v>
      </c>
      <c r="E675" s="9" t="str">
        <f>+HYPERLINK("http://trademark.i-assist.jp/data/china/image_1882th/76081401.pdf","76081401")</f>
        <v>76081401</v>
      </c>
      <c r="F675" s="6" t="s">
        <v>1891</v>
      </c>
      <c r="G675" s="6" t="s">
        <v>1824</v>
      </c>
      <c r="H675" s="8" t="s">
        <v>1892</v>
      </c>
      <c r="I675" s="14">
        <v>45288</v>
      </c>
    </row>
    <row r="676" spans="1:9" x14ac:dyDescent="0.15">
      <c r="A676" s="5">
        <v>675</v>
      </c>
      <c r="B676" s="6" t="s">
        <v>9</v>
      </c>
      <c r="C676" s="7">
        <v>1882</v>
      </c>
      <c r="D676" s="8">
        <v>45388</v>
      </c>
      <c r="E676" s="9" t="str">
        <f>+HYPERLINK("http://trademark.i-assist.jp/data/china/image_1882th/76081904.pdf","76081904")</f>
        <v>76081904</v>
      </c>
      <c r="F676" s="6" t="s">
        <v>1893</v>
      </c>
      <c r="G676" s="6" t="s">
        <v>1894</v>
      </c>
      <c r="H676" s="8" t="s">
        <v>1895</v>
      </c>
      <c r="I676" s="14">
        <v>45288</v>
      </c>
    </row>
    <row r="677" spans="1:9" x14ac:dyDescent="0.15">
      <c r="A677" s="5">
        <v>676</v>
      </c>
      <c r="B677" s="6" t="s">
        <v>9</v>
      </c>
      <c r="C677" s="7">
        <v>1882</v>
      </c>
      <c r="D677" s="8">
        <v>45388</v>
      </c>
      <c r="E677" s="9" t="str">
        <f>+HYPERLINK("http://trademark.i-assist.jp/data/china/image_1882th/76082822.pdf","76082822")</f>
        <v>76082822</v>
      </c>
      <c r="F677" s="6" t="s">
        <v>1896</v>
      </c>
      <c r="G677" s="6" t="s">
        <v>1897</v>
      </c>
      <c r="H677" s="8" t="s">
        <v>1898</v>
      </c>
      <c r="I677" s="14">
        <v>45288</v>
      </c>
    </row>
    <row r="678" spans="1:9" x14ac:dyDescent="0.15">
      <c r="A678" s="5">
        <v>677</v>
      </c>
      <c r="B678" s="6" t="s">
        <v>9</v>
      </c>
      <c r="C678" s="7">
        <v>1882</v>
      </c>
      <c r="D678" s="8">
        <v>45388</v>
      </c>
      <c r="E678" s="9" t="str">
        <f>+HYPERLINK("http://trademark.i-assist.jp/data/china/image_1882th/76083858.pdf","76083858")</f>
        <v>76083858</v>
      </c>
      <c r="F678" s="6" t="s">
        <v>1899</v>
      </c>
      <c r="G678" s="6" t="s">
        <v>1900</v>
      </c>
      <c r="H678" s="8" t="s">
        <v>1901</v>
      </c>
      <c r="I678" s="14">
        <v>45288</v>
      </c>
    </row>
    <row r="679" spans="1:9" x14ac:dyDescent="0.15">
      <c r="A679" s="5">
        <v>678</v>
      </c>
      <c r="B679" s="6" t="s">
        <v>9</v>
      </c>
      <c r="C679" s="7">
        <v>1882</v>
      </c>
      <c r="D679" s="8">
        <v>45388</v>
      </c>
      <c r="E679" s="9" t="str">
        <f>+HYPERLINK("http://trademark.i-assist.jp/data/china/image_1882th/76084333.pdf","76084333")</f>
        <v>76084333</v>
      </c>
      <c r="F679" s="6" t="s">
        <v>1902</v>
      </c>
      <c r="G679" s="6" t="s">
        <v>1903</v>
      </c>
      <c r="H679" s="8" t="s">
        <v>1904</v>
      </c>
      <c r="I679" s="14">
        <v>45289</v>
      </c>
    </row>
    <row r="680" spans="1:9" x14ac:dyDescent="0.15">
      <c r="A680" s="5">
        <v>679</v>
      </c>
      <c r="B680" s="6" t="s">
        <v>9</v>
      </c>
      <c r="C680" s="7">
        <v>1882</v>
      </c>
      <c r="D680" s="8">
        <v>45388</v>
      </c>
      <c r="E680" s="9" t="str">
        <f>+HYPERLINK("http://trademark.i-assist.jp/data/china/image_1882th/76084534.pdf","76084534")</f>
        <v>76084534</v>
      </c>
      <c r="F680" s="6" t="s">
        <v>1905</v>
      </c>
      <c r="G680" s="6" t="s">
        <v>1906</v>
      </c>
      <c r="H680" s="8" t="s">
        <v>1907</v>
      </c>
      <c r="I680" s="14">
        <v>45288</v>
      </c>
    </row>
    <row r="681" spans="1:9" x14ac:dyDescent="0.15">
      <c r="A681" s="5">
        <v>680</v>
      </c>
      <c r="B681" s="6" t="s">
        <v>9</v>
      </c>
      <c r="C681" s="7">
        <v>1882</v>
      </c>
      <c r="D681" s="8">
        <v>45388</v>
      </c>
      <c r="E681" s="9" t="str">
        <f>+HYPERLINK("http://trademark.i-assist.jp/data/china/image_1882th/76084572.pdf","76084572")</f>
        <v>76084572</v>
      </c>
      <c r="F681" s="6" t="s">
        <v>1908</v>
      </c>
      <c r="G681" s="6" t="s">
        <v>1800</v>
      </c>
      <c r="H681" s="8" t="s">
        <v>1909</v>
      </c>
      <c r="I681" s="14">
        <v>45288</v>
      </c>
    </row>
    <row r="682" spans="1:9" x14ac:dyDescent="0.15">
      <c r="A682" s="5">
        <v>681</v>
      </c>
      <c r="B682" s="6" t="s">
        <v>9</v>
      </c>
      <c r="C682" s="7">
        <v>1882</v>
      </c>
      <c r="D682" s="8">
        <v>45388</v>
      </c>
      <c r="E682" s="9" t="str">
        <f>+HYPERLINK("http://trademark.i-assist.jp/data/china/image_1882th/76084660.pdf","76084660")</f>
        <v>76084660</v>
      </c>
      <c r="F682" s="6" t="s">
        <v>1910</v>
      </c>
      <c r="G682" s="6" t="s">
        <v>1911</v>
      </c>
      <c r="H682" s="8" t="s">
        <v>1912</v>
      </c>
      <c r="I682" s="14">
        <v>45288</v>
      </c>
    </row>
    <row r="683" spans="1:9" x14ac:dyDescent="0.15">
      <c r="A683" s="5">
        <v>682</v>
      </c>
      <c r="B683" s="6" t="s">
        <v>9</v>
      </c>
      <c r="C683" s="7">
        <v>1882</v>
      </c>
      <c r="D683" s="8">
        <v>45388</v>
      </c>
      <c r="E683" s="9" t="str">
        <f>+HYPERLINK("http://trademark.i-assist.jp/data/china/image_1882th/76085007.pdf","76085007")</f>
        <v>76085007</v>
      </c>
      <c r="F683" s="6" t="s">
        <v>1913</v>
      </c>
      <c r="G683" s="6" t="s">
        <v>1886</v>
      </c>
      <c r="H683" s="8" t="s">
        <v>1914</v>
      </c>
      <c r="I683" s="14">
        <v>45288</v>
      </c>
    </row>
    <row r="684" spans="1:9" x14ac:dyDescent="0.15">
      <c r="A684" s="5">
        <v>683</v>
      </c>
      <c r="B684" s="6" t="s">
        <v>9</v>
      </c>
      <c r="C684" s="7">
        <v>1882</v>
      </c>
      <c r="D684" s="8">
        <v>45388</v>
      </c>
      <c r="E684" s="9" t="str">
        <f>+HYPERLINK("http://trademark.i-assist.jp/data/china/image_1882th/76087087.pdf","76087087")</f>
        <v>76087087</v>
      </c>
      <c r="F684" s="6" t="s">
        <v>1915</v>
      </c>
      <c r="G684" s="6" t="s">
        <v>1916</v>
      </c>
      <c r="H684" s="8" t="s">
        <v>1917</v>
      </c>
      <c r="I684" s="14">
        <v>45288</v>
      </c>
    </row>
    <row r="685" spans="1:9" x14ac:dyDescent="0.15">
      <c r="A685" s="5">
        <v>684</v>
      </c>
      <c r="B685" s="6" t="s">
        <v>9</v>
      </c>
      <c r="C685" s="7">
        <v>1882</v>
      </c>
      <c r="D685" s="8">
        <v>45388</v>
      </c>
      <c r="E685" s="9" t="str">
        <f>+HYPERLINK("http://trademark.i-assist.jp/data/china/image_1882th/76087924.pdf","76087924")</f>
        <v>76087924</v>
      </c>
      <c r="F685" s="6" t="s">
        <v>1918</v>
      </c>
      <c r="G685" s="6" t="s">
        <v>1919</v>
      </c>
      <c r="H685" s="8" t="s">
        <v>1920</v>
      </c>
      <c r="I685" s="14">
        <v>45288</v>
      </c>
    </row>
    <row r="686" spans="1:9" x14ac:dyDescent="0.15">
      <c r="A686" s="5">
        <v>685</v>
      </c>
      <c r="B686" s="6" t="s">
        <v>9</v>
      </c>
      <c r="C686" s="7">
        <v>1882</v>
      </c>
      <c r="D686" s="8">
        <v>45388</v>
      </c>
      <c r="E686" s="9" t="str">
        <f>+HYPERLINK("http://trademark.i-assist.jp/data/china/image_1882th/76088035.pdf","76088035")</f>
        <v>76088035</v>
      </c>
      <c r="F686" s="6" t="s">
        <v>26</v>
      </c>
      <c r="G686" s="6" t="s">
        <v>1921</v>
      </c>
      <c r="H686" s="8" t="s">
        <v>1922</v>
      </c>
      <c r="I686" s="14">
        <v>45288</v>
      </c>
    </row>
    <row r="687" spans="1:9" x14ac:dyDescent="0.15">
      <c r="A687" s="5">
        <v>686</v>
      </c>
      <c r="B687" s="6" t="s">
        <v>9</v>
      </c>
      <c r="C687" s="7">
        <v>1882</v>
      </c>
      <c r="D687" s="8">
        <v>45388</v>
      </c>
      <c r="E687" s="9" t="str">
        <f>+HYPERLINK("http://trademark.i-assist.jp/data/china/image_1882th/76088223.pdf","76088223")</f>
        <v>76088223</v>
      </c>
      <c r="F687" s="6" t="s">
        <v>1923</v>
      </c>
      <c r="G687" s="6" t="s">
        <v>1924</v>
      </c>
      <c r="H687" s="8" t="s">
        <v>1925</v>
      </c>
      <c r="I687" s="14">
        <v>45288</v>
      </c>
    </row>
    <row r="688" spans="1:9" x14ac:dyDescent="0.15">
      <c r="A688" s="5">
        <v>687</v>
      </c>
      <c r="B688" s="6" t="s">
        <v>9</v>
      </c>
      <c r="C688" s="7">
        <v>1882</v>
      </c>
      <c r="D688" s="8">
        <v>45388</v>
      </c>
      <c r="E688" s="9" t="str">
        <f>+HYPERLINK("http://trademark.i-assist.jp/data/china/image_1882th/76088317.pdf","76088317")</f>
        <v>76088317</v>
      </c>
      <c r="F688" s="6" t="s">
        <v>1926</v>
      </c>
      <c r="G688" s="6" t="s">
        <v>1927</v>
      </c>
      <c r="H688" s="8" t="s">
        <v>1928</v>
      </c>
      <c r="I688" s="14">
        <v>45288</v>
      </c>
    </row>
    <row r="689" spans="1:9" x14ac:dyDescent="0.15">
      <c r="A689" s="5">
        <v>688</v>
      </c>
      <c r="B689" s="6" t="s">
        <v>9</v>
      </c>
      <c r="C689" s="7">
        <v>1882</v>
      </c>
      <c r="D689" s="8">
        <v>45388</v>
      </c>
      <c r="E689" s="9" t="str">
        <f>+HYPERLINK("http://trademark.i-assist.jp/data/china/image_1882th/76088685.pdf","76088685")</f>
        <v>76088685</v>
      </c>
      <c r="F689" s="6" t="s">
        <v>26</v>
      </c>
      <c r="G689" s="6" t="s">
        <v>1929</v>
      </c>
      <c r="H689" s="8" t="s">
        <v>1930</v>
      </c>
      <c r="I689" s="14">
        <v>45288</v>
      </c>
    </row>
    <row r="690" spans="1:9" x14ac:dyDescent="0.15">
      <c r="A690" s="5">
        <v>689</v>
      </c>
      <c r="B690" s="6" t="s">
        <v>9</v>
      </c>
      <c r="C690" s="7">
        <v>1882</v>
      </c>
      <c r="D690" s="8">
        <v>45388</v>
      </c>
      <c r="E690" s="9" t="str">
        <f>+HYPERLINK("http://trademark.i-assist.jp/data/china/image_1882th/76088723.pdf","76088723")</f>
        <v>76088723</v>
      </c>
      <c r="F690" s="6" t="s">
        <v>1931</v>
      </c>
      <c r="G690" s="6" t="s">
        <v>1860</v>
      </c>
      <c r="H690" s="8" t="s">
        <v>1932</v>
      </c>
      <c r="I690" s="14">
        <v>45288</v>
      </c>
    </row>
    <row r="691" spans="1:9" x14ac:dyDescent="0.15">
      <c r="A691" s="5">
        <v>690</v>
      </c>
      <c r="B691" s="6" t="s">
        <v>9</v>
      </c>
      <c r="C691" s="7">
        <v>1882</v>
      </c>
      <c r="D691" s="8">
        <v>45388</v>
      </c>
      <c r="E691" s="9" t="str">
        <f>+HYPERLINK("http://trademark.i-assist.jp/data/china/image_1882th/76089459.pdf","76089459")</f>
        <v>76089459</v>
      </c>
      <c r="F691" s="6" t="s">
        <v>1933</v>
      </c>
      <c r="G691" s="6" t="s">
        <v>1934</v>
      </c>
      <c r="H691" s="8" t="s">
        <v>1935</v>
      </c>
      <c r="I691" s="14">
        <v>45288</v>
      </c>
    </row>
    <row r="692" spans="1:9" x14ac:dyDescent="0.15">
      <c r="A692" s="5">
        <v>691</v>
      </c>
      <c r="B692" s="6" t="s">
        <v>9</v>
      </c>
      <c r="C692" s="7">
        <v>1882</v>
      </c>
      <c r="D692" s="8">
        <v>45388</v>
      </c>
      <c r="E692" s="9" t="str">
        <f>+HYPERLINK("http://trademark.i-assist.jp/data/china/image_1882th/76089487.pdf","76089487")</f>
        <v>76089487</v>
      </c>
      <c r="F692" s="6" t="s">
        <v>1936</v>
      </c>
      <c r="G692" s="6" t="s">
        <v>1937</v>
      </c>
      <c r="H692" s="8" t="s">
        <v>1938</v>
      </c>
      <c r="I692" s="14">
        <v>45288</v>
      </c>
    </row>
    <row r="693" spans="1:9" x14ac:dyDescent="0.15">
      <c r="A693" s="5">
        <v>692</v>
      </c>
      <c r="B693" s="6" t="s">
        <v>9</v>
      </c>
      <c r="C693" s="7">
        <v>1882</v>
      </c>
      <c r="D693" s="8">
        <v>45388</v>
      </c>
      <c r="E693" s="9" t="str">
        <f>+HYPERLINK("http://trademark.i-assist.jp/data/china/image_1882th/76090343.pdf","76090343")</f>
        <v>76090343</v>
      </c>
      <c r="F693" s="6" t="s">
        <v>1939</v>
      </c>
      <c r="G693" s="6" t="s">
        <v>1940</v>
      </c>
      <c r="H693" s="8" t="s">
        <v>1941</v>
      </c>
      <c r="I693" s="14">
        <v>45288</v>
      </c>
    </row>
    <row r="694" spans="1:9" x14ac:dyDescent="0.15">
      <c r="A694" s="5">
        <v>693</v>
      </c>
      <c r="B694" s="6" t="s">
        <v>9</v>
      </c>
      <c r="C694" s="7">
        <v>1882</v>
      </c>
      <c r="D694" s="8">
        <v>45388</v>
      </c>
      <c r="E694" s="9" t="str">
        <f>+HYPERLINK("http://trademark.i-assist.jp/data/china/image_1882th/76090390.pdf","76090390")</f>
        <v>76090390</v>
      </c>
      <c r="F694" s="6" t="s">
        <v>1942</v>
      </c>
      <c r="G694" s="6" t="s">
        <v>1943</v>
      </c>
      <c r="H694" s="8" t="s">
        <v>1944</v>
      </c>
      <c r="I694" s="14">
        <v>45288</v>
      </c>
    </row>
    <row r="695" spans="1:9" x14ac:dyDescent="0.15">
      <c r="A695" s="5">
        <v>694</v>
      </c>
      <c r="B695" s="6" t="s">
        <v>9</v>
      </c>
      <c r="C695" s="7">
        <v>1882</v>
      </c>
      <c r="D695" s="8">
        <v>45388</v>
      </c>
      <c r="E695" s="9" t="str">
        <f>+HYPERLINK("http://trademark.i-assist.jp/data/china/image_1882th/76090740.pdf","76090740")</f>
        <v>76090740</v>
      </c>
      <c r="F695" s="6" t="s">
        <v>1945</v>
      </c>
      <c r="G695" s="6" t="s">
        <v>1946</v>
      </c>
      <c r="H695" s="8" t="s">
        <v>1947</v>
      </c>
      <c r="I695" s="14">
        <v>45288</v>
      </c>
    </row>
    <row r="696" spans="1:9" x14ac:dyDescent="0.15">
      <c r="A696" s="5">
        <v>695</v>
      </c>
      <c r="B696" s="6" t="s">
        <v>9</v>
      </c>
      <c r="C696" s="7">
        <v>1882</v>
      </c>
      <c r="D696" s="8">
        <v>45388</v>
      </c>
      <c r="E696" s="9" t="str">
        <f>+HYPERLINK("http://trademark.i-assist.jp/data/china/image_1882th/76091007.pdf","76091007")</f>
        <v>76091007</v>
      </c>
      <c r="F696" s="6" t="s">
        <v>1948</v>
      </c>
      <c r="G696" s="6" t="s">
        <v>615</v>
      </c>
      <c r="H696" s="8" t="s">
        <v>1949</v>
      </c>
      <c r="I696" s="14">
        <v>45288</v>
      </c>
    </row>
    <row r="697" spans="1:9" x14ac:dyDescent="0.15">
      <c r="A697" s="5">
        <v>696</v>
      </c>
      <c r="B697" s="6" t="s">
        <v>9</v>
      </c>
      <c r="C697" s="7">
        <v>1882</v>
      </c>
      <c r="D697" s="8">
        <v>45388</v>
      </c>
      <c r="E697" s="9" t="str">
        <f>+HYPERLINK("http://trademark.i-assist.jp/data/china/image_1882th/76091033.pdf","76091033")</f>
        <v>76091033</v>
      </c>
      <c r="F697" s="6" t="s">
        <v>1950</v>
      </c>
      <c r="G697" s="6" t="s">
        <v>615</v>
      </c>
      <c r="H697" s="8" t="s">
        <v>1951</v>
      </c>
      <c r="I697" s="14">
        <v>45288</v>
      </c>
    </row>
    <row r="698" spans="1:9" x14ac:dyDescent="0.15">
      <c r="A698" s="5">
        <v>697</v>
      </c>
      <c r="B698" s="6" t="s">
        <v>9</v>
      </c>
      <c r="C698" s="7">
        <v>1882</v>
      </c>
      <c r="D698" s="8">
        <v>45388</v>
      </c>
      <c r="E698" s="9" t="str">
        <f>+HYPERLINK("http://trademark.i-assist.jp/data/china/image_1882th/76091228.pdf","76091228")</f>
        <v>76091228</v>
      </c>
      <c r="F698" s="6" t="s">
        <v>1952</v>
      </c>
      <c r="G698" s="6" t="s">
        <v>1953</v>
      </c>
      <c r="H698" s="8" t="s">
        <v>1954</v>
      </c>
      <c r="I698" s="14">
        <v>45289</v>
      </c>
    </row>
    <row r="699" spans="1:9" x14ac:dyDescent="0.15">
      <c r="A699" s="5">
        <v>698</v>
      </c>
      <c r="B699" s="6" t="s">
        <v>9</v>
      </c>
      <c r="C699" s="7">
        <v>1882</v>
      </c>
      <c r="D699" s="8">
        <v>45388</v>
      </c>
      <c r="E699" s="9" t="str">
        <f>+HYPERLINK("http://trademark.i-assist.jp/data/china/image_1882th/76091518.pdf","76091518")</f>
        <v>76091518</v>
      </c>
      <c r="F699" s="6" t="s">
        <v>1955</v>
      </c>
      <c r="G699" s="6" t="s">
        <v>1956</v>
      </c>
      <c r="H699" s="8" t="s">
        <v>1957</v>
      </c>
      <c r="I699" s="14">
        <v>45289</v>
      </c>
    </row>
    <row r="700" spans="1:9" x14ac:dyDescent="0.15">
      <c r="A700" s="5">
        <v>699</v>
      </c>
      <c r="B700" s="6" t="s">
        <v>9</v>
      </c>
      <c r="C700" s="7">
        <v>1882</v>
      </c>
      <c r="D700" s="8">
        <v>45388</v>
      </c>
      <c r="E700" s="9" t="str">
        <f>+HYPERLINK("http://trademark.i-assist.jp/data/china/image_1882th/76092004.pdf","76092004")</f>
        <v>76092004</v>
      </c>
      <c r="F700" s="6" t="s">
        <v>1958</v>
      </c>
      <c r="G700" s="6" t="s">
        <v>1959</v>
      </c>
      <c r="H700" s="8" t="s">
        <v>1960</v>
      </c>
      <c r="I700" s="14">
        <v>45289</v>
      </c>
    </row>
    <row r="701" spans="1:9" x14ac:dyDescent="0.15">
      <c r="A701" s="5">
        <v>700</v>
      </c>
      <c r="B701" s="6" t="s">
        <v>9</v>
      </c>
      <c r="C701" s="7">
        <v>1882</v>
      </c>
      <c r="D701" s="8">
        <v>45388</v>
      </c>
      <c r="E701" s="9" t="str">
        <f>+HYPERLINK("http://trademark.i-assist.jp/data/china/image_1882th/76092537.pdf","76092537")</f>
        <v>76092537</v>
      </c>
      <c r="F701" s="6" t="s">
        <v>1961</v>
      </c>
      <c r="G701" s="6" t="s">
        <v>1962</v>
      </c>
      <c r="H701" s="8" t="s">
        <v>1963</v>
      </c>
      <c r="I701" s="14">
        <v>45289</v>
      </c>
    </row>
    <row r="702" spans="1:9" x14ac:dyDescent="0.15">
      <c r="A702" s="5">
        <v>701</v>
      </c>
      <c r="B702" s="6" t="s">
        <v>9</v>
      </c>
      <c r="C702" s="7">
        <v>1882</v>
      </c>
      <c r="D702" s="8">
        <v>45388</v>
      </c>
      <c r="E702" s="9" t="str">
        <f>+HYPERLINK("http://trademark.i-assist.jp/data/china/image_1882th/76092793.pdf","76092793")</f>
        <v>76092793</v>
      </c>
      <c r="F702" s="6" t="s">
        <v>1964</v>
      </c>
      <c r="G702" s="6" t="s">
        <v>1965</v>
      </c>
      <c r="H702" s="8" t="s">
        <v>1966</v>
      </c>
      <c r="I702" s="14">
        <v>45289</v>
      </c>
    </row>
    <row r="703" spans="1:9" x14ac:dyDescent="0.15">
      <c r="A703" s="5">
        <v>702</v>
      </c>
      <c r="B703" s="6" t="s">
        <v>9</v>
      </c>
      <c r="C703" s="7">
        <v>1882</v>
      </c>
      <c r="D703" s="8">
        <v>45388</v>
      </c>
      <c r="E703" s="9" t="str">
        <f>+HYPERLINK("http://trademark.i-assist.jp/data/china/image_1882th/76092821.pdf","76092821")</f>
        <v>76092821</v>
      </c>
      <c r="F703" s="6" t="s">
        <v>1967</v>
      </c>
      <c r="G703" s="6" t="s">
        <v>1968</v>
      </c>
      <c r="H703" s="8" t="s">
        <v>1969</v>
      </c>
      <c r="I703" s="14">
        <v>45289</v>
      </c>
    </row>
    <row r="704" spans="1:9" x14ac:dyDescent="0.15">
      <c r="A704" s="5">
        <v>703</v>
      </c>
      <c r="B704" s="6" t="s">
        <v>9</v>
      </c>
      <c r="C704" s="7">
        <v>1882</v>
      </c>
      <c r="D704" s="8">
        <v>45388</v>
      </c>
      <c r="E704" s="9" t="str">
        <f>+HYPERLINK("http://trademark.i-assist.jp/data/china/image_1882th/76092840.pdf","76092840")</f>
        <v>76092840</v>
      </c>
      <c r="F704" s="6" t="s">
        <v>1970</v>
      </c>
      <c r="G704" s="6" t="s">
        <v>1266</v>
      </c>
      <c r="H704" s="8" t="s">
        <v>1971</v>
      </c>
      <c r="I704" s="14">
        <v>45289</v>
      </c>
    </row>
    <row r="705" spans="1:9" x14ac:dyDescent="0.15">
      <c r="A705" s="5">
        <v>704</v>
      </c>
      <c r="B705" s="6" t="s">
        <v>9</v>
      </c>
      <c r="C705" s="7">
        <v>1882</v>
      </c>
      <c r="D705" s="8">
        <v>45388</v>
      </c>
      <c r="E705" s="9" t="str">
        <f>+HYPERLINK("http://trademark.i-assist.jp/data/china/image_1882th/76093094.pdf","76093094")</f>
        <v>76093094</v>
      </c>
      <c r="F705" s="6" t="s">
        <v>1972</v>
      </c>
      <c r="G705" s="6" t="s">
        <v>1973</v>
      </c>
      <c r="H705" s="8" t="s">
        <v>1974</v>
      </c>
      <c r="I705" s="14">
        <v>45289</v>
      </c>
    </row>
    <row r="706" spans="1:9" x14ac:dyDescent="0.15">
      <c r="A706" s="5">
        <v>705</v>
      </c>
      <c r="B706" s="6" t="s">
        <v>9</v>
      </c>
      <c r="C706" s="7">
        <v>1882</v>
      </c>
      <c r="D706" s="8">
        <v>45388</v>
      </c>
      <c r="E706" s="9" t="str">
        <f>+HYPERLINK("http://trademark.i-assist.jp/data/china/image_1882th/76093148.pdf","76093148")</f>
        <v>76093148</v>
      </c>
      <c r="F706" s="6" t="s">
        <v>1975</v>
      </c>
      <c r="G706" s="6" t="s">
        <v>1976</v>
      </c>
      <c r="H706" s="8" t="s">
        <v>1977</v>
      </c>
      <c r="I706" s="14">
        <v>45289</v>
      </c>
    </row>
    <row r="707" spans="1:9" x14ac:dyDescent="0.15">
      <c r="A707" s="5">
        <v>706</v>
      </c>
      <c r="B707" s="6" t="s">
        <v>9</v>
      </c>
      <c r="C707" s="7">
        <v>1882</v>
      </c>
      <c r="D707" s="8">
        <v>45388</v>
      </c>
      <c r="E707" s="9" t="str">
        <f>+HYPERLINK("http://trademark.i-assist.jp/data/china/image_1882th/76093195.pdf","76093195")</f>
        <v>76093195</v>
      </c>
      <c r="F707" s="6" t="s">
        <v>1978</v>
      </c>
      <c r="G707" s="6" t="s">
        <v>1979</v>
      </c>
      <c r="H707" s="8" t="s">
        <v>1980</v>
      </c>
      <c r="I707" s="14">
        <v>45289</v>
      </c>
    </row>
    <row r="708" spans="1:9" x14ac:dyDescent="0.15">
      <c r="A708" s="5">
        <v>707</v>
      </c>
      <c r="B708" s="6" t="s">
        <v>9</v>
      </c>
      <c r="C708" s="7">
        <v>1882</v>
      </c>
      <c r="D708" s="8">
        <v>45388</v>
      </c>
      <c r="E708" s="9" t="str">
        <f>+HYPERLINK("http://trademark.i-assist.jp/data/china/image_1882th/76093867.pdf","76093867")</f>
        <v>76093867</v>
      </c>
      <c r="F708" s="6" t="s">
        <v>1981</v>
      </c>
      <c r="G708" s="6" t="s">
        <v>1982</v>
      </c>
      <c r="H708" s="8" t="s">
        <v>1983</v>
      </c>
      <c r="I708" s="14">
        <v>45289</v>
      </c>
    </row>
    <row r="709" spans="1:9" x14ac:dyDescent="0.15">
      <c r="A709" s="5">
        <v>708</v>
      </c>
      <c r="B709" s="6" t="s">
        <v>9</v>
      </c>
      <c r="C709" s="7">
        <v>1882</v>
      </c>
      <c r="D709" s="8">
        <v>45388</v>
      </c>
      <c r="E709" s="9" t="str">
        <f>+HYPERLINK("http://trademark.i-assist.jp/data/china/image_1882th/76093917.pdf","76093917")</f>
        <v>76093917</v>
      </c>
      <c r="F709" s="6" t="s">
        <v>1984</v>
      </c>
      <c r="G709" s="6" t="s">
        <v>1985</v>
      </c>
      <c r="H709" s="8" t="s">
        <v>1986</v>
      </c>
      <c r="I709" s="14">
        <v>45289</v>
      </c>
    </row>
    <row r="710" spans="1:9" x14ac:dyDescent="0.15">
      <c r="A710" s="5">
        <v>709</v>
      </c>
      <c r="B710" s="6" t="s">
        <v>9</v>
      </c>
      <c r="C710" s="7">
        <v>1882</v>
      </c>
      <c r="D710" s="8">
        <v>45388</v>
      </c>
      <c r="E710" s="9" t="str">
        <f>+HYPERLINK("http://trademark.i-assist.jp/data/china/image_1882th/76094098.pdf","76094098")</f>
        <v>76094098</v>
      </c>
      <c r="F710" s="6" t="s">
        <v>1987</v>
      </c>
      <c r="G710" s="6" t="s">
        <v>1988</v>
      </c>
      <c r="H710" s="8" t="s">
        <v>1989</v>
      </c>
      <c r="I710" s="14">
        <v>45289</v>
      </c>
    </row>
    <row r="711" spans="1:9" x14ac:dyDescent="0.15">
      <c r="A711" s="5">
        <v>710</v>
      </c>
      <c r="B711" s="6" t="s">
        <v>9</v>
      </c>
      <c r="C711" s="7">
        <v>1882</v>
      </c>
      <c r="D711" s="8">
        <v>45388</v>
      </c>
      <c r="E711" s="9" t="str">
        <f>+HYPERLINK("http://trademark.i-assist.jp/data/china/image_1882th/76094822.pdf","76094822")</f>
        <v>76094822</v>
      </c>
      <c r="F711" s="6" t="s">
        <v>1990</v>
      </c>
      <c r="G711" s="6" t="s">
        <v>1959</v>
      </c>
      <c r="H711" s="8" t="s">
        <v>1991</v>
      </c>
      <c r="I711" s="14">
        <v>45289</v>
      </c>
    </row>
    <row r="712" spans="1:9" x14ac:dyDescent="0.15">
      <c r="A712" s="5">
        <v>711</v>
      </c>
      <c r="B712" s="6" t="s">
        <v>9</v>
      </c>
      <c r="C712" s="7">
        <v>1882</v>
      </c>
      <c r="D712" s="8">
        <v>45388</v>
      </c>
      <c r="E712" s="9" t="str">
        <f>+HYPERLINK("http://trademark.i-assist.jp/data/china/image_1882th/76094827.pdf","76094827")</f>
        <v>76094827</v>
      </c>
      <c r="F712" s="6" t="s">
        <v>1992</v>
      </c>
      <c r="G712" s="6" t="s">
        <v>1993</v>
      </c>
      <c r="H712" s="8" t="s">
        <v>1994</v>
      </c>
      <c r="I712" s="14">
        <v>45289</v>
      </c>
    </row>
    <row r="713" spans="1:9" x14ac:dyDescent="0.15">
      <c r="A713" s="5">
        <v>712</v>
      </c>
      <c r="B713" s="6" t="s">
        <v>9</v>
      </c>
      <c r="C713" s="7">
        <v>1882</v>
      </c>
      <c r="D713" s="8">
        <v>45388</v>
      </c>
      <c r="E713" s="9" t="str">
        <f>+HYPERLINK("http://trademark.i-assist.jp/data/china/image_1882th/76094865.pdf","76094865")</f>
        <v>76094865</v>
      </c>
      <c r="F713" s="6" t="s">
        <v>1995</v>
      </c>
      <c r="G713" s="6" t="s">
        <v>1996</v>
      </c>
      <c r="H713" s="8" t="s">
        <v>1997</v>
      </c>
      <c r="I713" s="14">
        <v>45289</v>
      </c>
    </row>
    <row r="714" spans="1:9" x14ac:dyDescent="0.15">
      <c r="A714" s="5">
        <v>713</v>
      </c>
      <c r="B714" s="6" t="s">
        <v>9</v>
      </c>
      <c r="C714" s="7">
        <v>1882</v>
      </c>
      <c r="D714" s="8">
        <v>45388</v>
      </c>
      <c r="E714" s="9" t="str">
        <f>+HYPERLINK("http://trademark.i-assist.jp/data/china/image_1882th/76095513.pdf","76095513")</f>
        <v>76095513</v>
      </c>
      <c r="F714" s="6" t="s">
        <v>1998</v>
      </c>
      <c r="G714" s="6" t="s">
        <v>1999</v>
      </c>
      <c r="H714" s="8" t="s">
        <v>2000</v>
      </c>
      <c r="I714" s="14">
        <v>45289</v>
      </c>
    </row>
    <row r="715" spans="1:9" x14ac:dyDescent="0.15">
      <c r="A715" s="5">
        <v>714</v>
      </c>
      <c r="B715" s="6" t="s">
        <v>9</v>
      </c>
      <c r="C715" s="7">
        <v>1882</v>
      </c>
      <c r="D715" s="8">
        <v>45388</v>
      </c>
      <c r="E715" s="9" t="str">
        <f>+HYPERLINK("http://trademark.i-assist.jp/data/china/image_1882th/76095804.pdf","76095804")</f>
        <v>76095804</v>
      </c>
      <c r="F715" s="6" t="s">
        <v>2001</v>
      </c>
      <c r="G715" s="6" t="s">
        <v>2002</v>
      </c>
      <c r="H715" s="8" t="s">
        <v>2003</v>
      </c>
      <c r="I715" s="14">
        <v>45289</v>
      </c>
    </row>
    <row r="716" spans="1:9" x14ac:dyDescent="0.15">
      <c r="A716" s="5">
        <v>715</v>
      </c>
      <c r="B716" s="6" t="s">
        <v>9</v>
      </c>
      <c r="C716" s="7">
        <v>1882</v>
      </c>
      <c r="D716" s="8">
        <v>45388</v>
      </c>
      <c r="E716" s="9" t="str">
        <f>+HYPERLINK("http://trademark.i-assist.jp/data/china/image_1882th/76096039.pdf","76096039")</f>
        <v>76096039</v>
      </c>
      <c r="F716" s="6" t="s">
        <v>2004</v>
      </c>
      <c r="G716" s="6" t="s">
        <v>2005</v>
      </c>
      <c r="H716" s="8" t="s">
        <v>2006</v>
      </c>
      <c r="I716" s="14">
        <v>45289</v>
      </c>
    </row>
    <row r="717" spans="1:9" x14ac:dyDescent="0.15">
      <c r="A717" s="5">
        <v>716</v>
      </c>
      <c r="B717" s="6" t="s">
        <v>9</v>
      </c>
      <c r="C717" s="7">
        <v>1882</v>
      </c>
      <c r="D717" s="8">
        <v>45388</v>
      </c>
      <c r="E717" s="9" t="str">
        <f>+HYPERLINK("http://trademark.i-assist.jp/data/china/image_1882th/76096142.pdf","76096142")</f>
        <v>76096142</v>
      </c>
      <c r="F717" s="6" t="s">
        <v>2007</v>
      </c>
      <c r="G717" s="6" t="s">
        <v>2008</v>
      </c>
      <c r="H717" s="8" t="s">
        <v>2009</v>
      </c>
      <c r="I717" s="14">
        <v>45289</v>
      </c>
    </row>
    <row r="718" spans="1:9" x14ac:dyDescent="0.15">
      <c r="A718" s="5">
        <v>717</v>
      </c>
      <c r="B718" s="6" t="s">
        <v>9</v>
      </c>
      <c r="C718" s="7">
        <v>1882</v>
      </c>
      <c r="D718" s="8">
        <v>45388</v>
      </c>
      <c r="E718" s="9" t="str">
        <f>+HYPERLINK("http://trademark.i-assist.jp/data/china/image_1882th/76096229.pdf","76096229")</f>
        <v>76096229</v>
      </c>
      <c r="F718" s="6" t="s">
        <v>26</v>
      </c>
      <c r="G718" s="6" t="s">
        <v>2010</v>
      </c>
      <c r="H718" s="8" t="s">
        <v>2011</v>
      </c>
      <c r="I718" s="14">
        <v>45289</v>
      </c>
    </row>
    <row r="719" spans="1:9" x14ac:dyDescent="0.15">
      <c r="A719" s="5">
        <v>718</v>
      </c>
      <c r="B719" s="6" t="s">
        <v>9</v>
      </c>
      <c r="C719" s="7">
        <v>1882</v>
      </c>
      <c r="D719" s="8">
        <v>45388</v>
      </c>
      <c r="E719" s="9" t="str">
        <f>+HYPERLINK("http://trademark.i-assist.jp/data/china/image_1882th/76096831.pdf","76096831")</f>
        <v>76096831</v>
      </c>
      <c r="F719" s="6" t="s">
        <v>2012</v>
      </c>
      <c r="G719" s="6" t="s">
        <v>2013</v>
      </c>
      <c r="H719" s="8" t="s">
        <v>2014</v>
      </c>
      <c r="I719" s="14">
        <v>45289</v>
      </c>
    </row>
    <row r="720" spans="1:9" x14ac:dyDescent="0.15">
      <c r="A720" s="5">
        <v>719</v>
      </c>
      <c r="B720" s="6" t="s">
        <v>9</v>
      </c>
      <c r="C720" s="7">
        <v>1882</v>
      </c>
      <c r="D720" s="8">
        <v>45388</v>
      </c>
      <c r="E720" s="9" t="str">
        <f>+HYPERLINK("http://trademark.i-assist.jp/data/china/image_1882th/76096872.pdf","76096872")</f>
        <v>76096872</v>
      </c>
      <c r="F720" s="6" t="s">
        <v>2015</v>
      </c>
      <c r="G720" s="6" t="s">
        <v>2016</v>
      </c>
      <c r="H720" s="8" t="s">
        <v>2017</v>
      </c>
      <c r="I720" s="14">
        <v>45289</v>
      </c>
    </row>
    <row r="721" spans="1:9" x14ac:dyDescent="0.15">
      <c r="A721" s="5">
        <v>720</v>
      </c>
      <c r="B721" s="6" t="s">
        <v>9</v>
      </c>
      <c r="C721" s="7">
        <v>1882</v>
      </c>
      <c r="D721" s="8">
        <v>45388</v>
      </c>
      <c r="E721" s="9" t="str">
        <f>+HYPERLINK("http://trademark.i-assist.jp/data/china/image_1882th/76097017.pdf","76097017")</f>
        <v>76097017</v>
      </c>
      <c r="F721" s="6" t="s">
        <v>2018</v>
      </c>
      <c r="G721" s="6" t="s">
        <v>2019</v>
      </c>
      <c r="H721" s="8" t="s">
        <v>2020</v>
      </c>
      <c r="I721" s="14">
        <v>45289</v>
      </c>
    </row>
    <row r="722" spans="1:9" x14ac:dyDescent="0.15">
      <c r="A722" s="5">
        <v>721</v>
      </c>
      <c r="B722" s="6" t="s">
        <v>9</v>
      </c>
      <c r="C722" s="7">
        <v>1882</v>
      </c>
      <c r="D722" s="8">
        <v>45388</v>
      </c>
      <c r="E722" s="9" t="str">
        <f>+HYPERLINK("http://trademark.i-assist.jp/data/china/image_1882th/76097072.pdf","76097072")</f>
        <v>76097072</v>
      </c>
      <c r="F722" s="6" t="s">
        <v>2021</v>
      </c>
      <c r="G722" s="6" t="s">
        <v>2022</v>
      </c>
      <c r="H722" s="8" t="s">
        <v>2023</v>
      </c>
      <c r="I722" s="14">
        <v>45289</v>
      </c>
    </row>
    <row r="723" spans="1:9" x14ac:dyDescent="0.15">
      <c r="A723" s="5">
        <v>722</v>
      </c>
      <c r="B723" s="6" t="s">
        <v>9</v>
      </c>
      <c r="C723" s="7">
        <v>1882</v>
      </c>
      <c r="D723" s="8">
        <v>45388</v>
      </c>
      <c r="E723" s="9" t="str">
        <f>+HYPERLINK("http://trademark.i-assist.jp/data/china/image_1882th/76097325.pdf","76097325")</f>
        <v>76097325</v>
      </c>
      <c r="F723" s="6" t="s">
        <v>2024</v>
      </c>
      <c r="G723" s="6" t="s">
        <v>2025</v>
      </c>
      <c r="H723" s="8" t="s">
        <v>2026</v>
      </c>
      <c r="I723" s="14">
        <v>45289</v>
      </c>
    </row>
    <row r="724" spans="1:9" x14ac:dyDescent="0.15">
      <c r="A724" s="5">
        <v>723</v>
      </c>
      <c r="B724" s="6" t="s">
        <v>9</v>
      </c>
      <c r="C724" s="7">
        <v>1882</v>
      </c>
      <c r="D724" s="8">
        <v>45388</v>
      </c>
      <c r="E724" s="9" t="str">
        <f>+HYPERLINK("http://trademark.i-assist.jp/data/china/image_1882th/76097716.pdf","76097716")</f>
        <v>76097716</v>
      </c>
      <c r="F724" s="6" t="s">
        <v>2027</v>
      </c>
      <c r="G724" s="6" t="s">
        <v>2028</v>
      </c>
      <c r="H724" s="8" t="s">
        <v>2029</v>
      </c>
      <c r="I724" s="14">
        <v>45289</v>
      </c>
    </row>
    <row r="725" spans="1:9" x14ac:dyDescent="0.15">
      <c r="A725" s="5">
        <v>724</v>
      </c>
      <c r="B725" s="6" t="s">
        <v>9</v>
      </c>
      <c r="C725" s="7">
        <v>1882</v>
      </c>
      <c r="D725" s="8">
        <v>45388</v>
      </c>
      <c r="E725" s="9" t="str">
        <f>+HYPERLINK("http://trademark.i-assist.jp/data/china/image_1882th/76098119.pdf","76098119")</f>
        <v>76098119</v>
      </c>
      <c r="F725" s="6" t="s">
        <v>2030</v>
      </c>
      <c r="G725" s="6" t="s">
        <v>2031</v>
      </c>
      <c r="H725" s="8" t="s">
        <v>2032</v>
      </c>
      <c r="I725" s="14">
        <v>45289</v>
      </c>
    </row>
    <row r="726" spans="1:9" x14ac:dyDescent="0.15">
      <c r="A726" s="5">
        <v>725</v>
      </c>
      <c r="B726" s="6" t="s">
        <v>9</v>
      </c>
      <c r="C726" s="7">
        <v>1882</v>
      </c>
      <c r="D726" s="8">
        <v>45388</v>
      </c>
      <c r="E726" s="9" t="str">
        <f>+HYPERLINK("http://trademark.i-assist.jp/data/china/image_1882th/76098616.pdf","76098616")</f>
        <v>76098616</v>
      </c>
      <c r="F726" s="6" t="s">
        <v>2033</v>
      </c>
      <c r="G726" s="6" t="s">
        <v>2034</v>
      </c>
      <c r="H726" s="8" t="s">
        <v>2035</v>
      </c>
      <c r="I726" s="14">
        <v>45289</v>
      </c>
    </row>
    <row r="727" spans="1:9" x14ac:dyDescent="0.15">
      <c r="A727" s="5">
        <v>726</v>
      </c>
      <c r="B727" s="6" t="s">
        <v>9</v>
      </c>
      <c r="C727" s="7">
        <v>1882</v>
      </c>
      <c r="D727" s="8">
        <v>45388</v>
      </c>
      <c r="E727" s="9" t="str">
        <f>+HYPERLINK("http://trademark.i-assist.jp/data/china/image_1882th/76099333.pdf","76099333")</f>
        <v>76099333</v>
      </c>
      <c r="F727" s="6" t="s">
        <v>2036</v>
      </c>
      <c r="G727" s="6" t="s">
        <v>2037</v>
      </c>
      <c r="H727" s="8" t="s">
        <v>2038</v>
      </c>
      <c r="I727" s="14">
        <v>45289</v>
      </c>
    </row>
    <row r="728" spans="1:9" x14ac:dyDescent="0.15">
      <c r="A728" s="5">
        <v>727</v>
      </c>
      <c r="B728" s="6" t="s">
        <v>9</v>
      </c>
      <c r="C728" s="7">
        <v>1882</v>
      </c>
      <c r="D728" s="8">
        <v>45388</v>
      </c>
      <c r="E728" s="9" t="str">
        <f>+HYPERLINK("http://trademark.i-assist.jp/data/china/image_1882th/76099783.pdf","76099783")</f>
        <v>76099783</v>
      </c>
      <c r="F728" s="6" t="s">
        <v>2039</v>
      </c>
      <c r="G728" s="6" t="s">
        <v>1993</v>
      </c>
      <c r="H728" s="8" t="s">
        <v>2040</v>
      </c>
      <c r="I728" s="14">
        <v>45289</v>
      </c>
    </row>
    <row r="729" spans="1:9" x14ac:dyDescent="0.15">
      <c r="A729" s="5">
        <v>728</v>
      </c>
      <c r="B729" s="6" t="s">
        <v>9</v>
      </c>
      <c r="C729" s="7">
        <v>1882</v>
      </c>
      <c r="D729" s="8">
        <v>45388</v>
      </c>
      <c r="E729" s="9" t="str">
        <f>+HYPERLINK("http://trademark.i-assist.jp/data/china/image_1882th/76100153.pdf","76100153")</f>
        <v>76100153</v>
      </c>
      <c r="F729" s="6" t="s">
        <v>2041</v>
      </c>
      <c r="G729" s="6" t="s">
        <v>2042</v>
      </c>
      <c r="H729" s="8" t="s">
        <v>2043</v>
      </c>
      <c r="I729" s="14">
        <v>45289</v>
      </c>
    </row>
    <row r="730" spans="1:9" x14ac:dyDescent="0.15">
      <c r="A730" s="5">
        <v>729</v>
      </c>
      <c r="B730" s="6" t="s">
        <v>9</v>
      </c>
      <c r="C730" s="7">
        <v>1882</v>
      </c>
      <c r="D730" s="8">
        <v>45388</v>
      </c>
      <c r="E730" s="9" t="str">
        <f>+HYPERLINK("http://trademark.i-assist.jp/data/china/image_1882th/76100675.pdf","76100675")</f>
        <v>76100675</v>
      </c>
      <c r="F730" s="6" t="s">
        <v>2044</v>
      </c>
      <c r="G730" s="6" t="s">
        <v>1266</v>
      </c>
      <c r="H730" s="8" t="s">
        <v>2045</v>
      </c>
      <c r="I730" s="14">
        <v>45289</v>
      </c>
    </row>
    <row r="731" spans="1:9" x14ac:dyDescent="0.15">
      <c r="A731" s="5">
        <v>730</v>
      </c>
      <c r="B731" s="6" t="s">
        <v>9</v>
      </c>
      <c r="C731" s="7">
        <v>1882</v>
      </c>
      <c r="D731" s="8">
        <v>45388</v>
      </c>
      <c r="E731" s="9" t="str">
        <f>+HYPERLINK("http://trademark.i-assist.jp/data/china/image_1882th/76100752.pdf","76100752")</f>
        <v>76100752</v>
      </c>
      <c r="F731" s="6" t="s">
        <v>2046</v>
      </c>
      <c r="G731" s="6" t="s">
        <v>2047</v>
      </c>
      <c r="H731" s="8" t="s">
        <v>2048</v>
      </c>
      <c r="I731" s="14">
        <v>45289</v>
      </c>
    </row>
    <row r="732" spans="1:9" x14ac:dyDescent="0.15">
      <c r="A732" s="5">
        <v>731</v>
      </c>
      <c r="B732" s="6" t="s">
        <v>9</v>
      </c>
      <c r="C732" s="7">
        <v>1882</v>
      </c>
      <c r="D732" s="8">
        <v>45388</v>
      </c>
      <c r="E732" s="9" t="str">
        <f>+HYPERLINK("http://trademark.i-assist.jp/data/china/image_1882th/76101224.pdf","76101224")</f>
        <v>76101224</v>
      </c>
      <c r="F732" s="6" t="s">
        <v>2049</v>
      </c>
      <c r="G732" s="6" t="s">
        <v>2050</v>
      </c>
      <c r="H732" s="8" t="s">
        <v>2051</v>
      </c>
      <c r="I732" s="14">
        <v>45289</v>
      </c>
    </row>
    <row r="733" spans="1:9" x14ac:dyDescent="0.15">
      <c r="A733" s="5">
        <v>732</v>
      </c>
      <c r="B733" s="6" t="s">
        <v>9</v>
      </c>
      <c r="C733" s="7">
        <v>1882</v>
      </c>
      <c r="D733" s="8">
        <v>45388</v>
      </c>
      <c r="E733" s="9" t="str">
        <f>+HYPERLINK("http://trademark.i-assist.jp/data/china/image_1882th/76101225.pdf","76101225")</f>
        <v>76101225</v>
      </c>
      <c r="F733" s="6" t="s">
        <v>2052</v>
      </c>
      <c r="G733" s="6" t="s">
        <v>2053</v>
      </c>
      <c r="H733" s="8" t="s">
        <v>2054</v>
      </c>
      <c r="I733" s="14">
        <v>45289</v>
      </c>
    </row>
    <row r="734" spans="1:9" x14ac:dyDescent="0.15">
      <c r="A734" s="5">
        <v>733</v>
      </c>
      <c r="B734" s="6" t="s">
        <v>9</v>
      </c>
      <c r="C734" s="7">
        <v>1882</v>
      </c>
      <c r="D734" s="8">
        <v>45388</v>
      </c>
      <c r="E734" s="9" t="str">
        <f>+HYPERLINK("http://trademark.i-assist.jp/data/china/image_1882th/76101719.pdf","76101719")</f>
        <v>76101719</v>
      </c>
      <c r="F734" s="6" t="s">
        <v>2055</v>
      </c>
      <c r="G734" s="6" t="s">
        <v>2028</v>
      </c>
      <c r="H734" s="8" t="s">
        <v>2056</v>
      </c>
      <c r="I734" s="14">
        <v>45289</v>
      </c>
    </row>
    <row r="735" spans="1:9" x14ac:dyDescent="0.15">
      <c r="A735" s="5">
        <v>734</v>
      </c>
      <c r="B735" s="6" t="s">
        <v>9</v>
      </c>
      <c r="C735" s="7">
        <v>1882</v>
      </c>
      <c r="D735" s="8">
        <v>45388</v>
      </c>
      <c r="E735" s="9" t="str">
        <f>+HYPERLINK("http://trademark.i-assist.jp/data/china/image_1882th/76101799.pdf","76101799")</f>
        <v>76101799</v>
      </c>
      <c r="F735" s="6" t="s">
        <v>2057</v>
      </c>
      <c r="G735" s="6" t="s">
        <v>2058</v>
      </c>
      <c r="H735" s="8" t="s">
        <v>2059</v>
      </c>
      <c r="I735" s="14">
        <v>45289</v>
      </c>
    </row>
    <row r="736" spans="1:9" x14ac:dyDescent="0.15">
      <c r="A736" s="5">
        <v>735</v>
      </c>
      <c r="B736" s="6" t="s">
        <v>9</v>
      </c>
      <c r="C736" s="7">
        <v>1882</v>
      </c>
      <c r="D736" s="8">
        <v>45388</v>
      </c>
      <c r="E736" s="9" t="str">
        <f>+HYPERLINK("http://trademark.i-assist.jp/data/china/image_1882th/76102019.pdf","76102019")</f>
        <v>76102019</v>
      </c>
      <c r="F736" s="6" t="s">
        <v>2060</v>
      </c>
      <c r="G736" s="6" t="s">
        <v>2061</v>
      </c>
      <c r="H736" s="8" t="s">
        <v>2062</v>
      </c>
      <c r="I736" s="14">
        <v>45289</v>
      </c>
    </row>
    <row r="737" spans="1:9" x14ac:dyDescent="0.15">
      <c r="A737" s="5">
        <v>736</v>
      </c>
      <c r="B737" s="6" t="s">
        <v>9</v>
      </c>
      <c r="C737" s="7">
        <v>1882</v>
      </c>
      <c r="D737" s="8">
        <v>45388</v>
      </c>
      <c r="E737" s="9" t="str">
        <f>+HYPERLINK("http://trademark.i-assist.jp/data/china/image_1882th/76102089.pdf","76102089")</f>
        <v>76102089</v>
      </c>
      <c r="F737" s="6" t="s">
        <v>2063</v>
      </c>
      <c r="G737" s="6" t="s">
        <v>2064</v>
      </c>
      <c r="H737" s="8" t="s">
        <v>2065</v>
      </c>
      <c r="I737" s="14">
        <v>45289</v>
      </c>
    </row>
    <row r="738" spans="1:9" x14ac:dyDescent="0.15">
      <c r="A738" s="5">
        <v>737</v>
      </c>
      <c r="B738" s="6" t="s">
        <v>9</v>
      </c>
      <c r="C738" s="7">
        <v>1882</v>
      </c>
      <c r="D738" s="8">
        <v>45388</v>
      </c>
      <c r="E738" s="9" t="str">
        <f>+HYPERLINK("http://trademark.i-assist.jp/data/china/image_1882th/76102197.pdf","76102197")</f>
        <v>76102197</v>
      </c>
      <c r="F738" s="6" t="s">
        <v>2066</v>
      </c>
      <c r="G738" s="6" t="s">
        <v>2067</v>
      </c>
      <c r="H738" s="8" t="s">
        <v>2068</v>
      </c>
      <c r="I738" s="14">
        <v>45289</v>
      </c>
    </row>
    <row r="739" spans="1:9" x14ac:dyDescent="0.15">
      <c r="A739" s="5">
        <v>738</v>
      </c>
      <c r="B739" s="6" t="s">
        <v>9</v>
      </c>
      <c r="C739" s="7">
        <v>1882</v>
      </c>
      <c r="D739" s="8">
        <v>45388</v>
      </c>
      <c r="E739" s="9" t="str">
        <f>+HYPERLINK("http://trademark.i-assist.jp/data/china/image_1882th/76102198.pdf","76102198")</f>
        <v>76102198</v>
      </c>
      <c r="F739" s="6" t="s">
        <v>2069</v>
      </c>
      <c r="G739" s="6" t="s">
        <v>2070</v>
      </c>
      <c r="H739" s="8" t="s">
        <v>2071</v>
      </c>
      <c r="I739" s="14">
        <v>45289</v>
      </c>
    </row>
    <row r="740" spans="1:9" x14ac:dyDescent="0.15">
      <c r="A740" s="5">
        <v>739</v>
      </c>
      <c r="B740" s="6" t="s">
        <v>9</v>
      </c>
      <c r="C740" s="7">
        <v>1882</v>
      </c>
      <c r="D740" s="8">
        <v>45388</v>
      </c>
      <c r="E740" s="9" t="str">
        <f>+HYPERLINK("http://trademark.i-assist.jp/data/china/image_1882th/76102617.pdf","76102617")</f>
        <v>76102617</v>
      </c>
      <c r="F740" s="6" t="s">
        <v>2072</v>
      </c>
      <c r="G740" s="6" t="s">
        <v>2073</v>
      </c>
      <c r="H740" s="8" t="s">
        <v>2074</v>
      </c>
      <c r="I740" s="14">
        <v>45289</v>
      </c>
    </row>
    <row r="741" spans="1:9" x14ac:dyDescent="0.15">
      <c r="A741" s="5">
        <v>740</v>
      </c>
      <c r="B741" s="6" t="s">
        <v>9</v>
      </c>
      <c r="C741" s="7">
        <v>1882</v>
      </c>
      <c r="D741" s="8">
        <v>45388</v>
      </c>
      <c r="E741" s="9" t="str">
        <f>+HYPERLINK("http://trademark.i-assist.jp/data/china/image_1882th/76102782.pdf","76102782")</f>
        <v>76102782</v>
      </c>
      <c r="F741" s="6" t="s">
        <v>26</v>
      </c>
      <c r="G741" s="6" t="s">
        <v>2075</v>
      </c>
      <c r="H741" s="8" t="s">
        <v>2076</v>
      </c>
      <c r="I741" s="14">
        <v>45289</v>
      </c>
    </row>
    <row r="742" spans="1:9" x14ac:dyDescent="0.15">
      <c r="A742" s="5">
        <v>741</v>
      </c>
      <c r="B742" s="6" t="s">
        <v>9</v>
      </c>
      <c r="C742" s="7">
        <v>1882</v>
      </c>
      <c r="D742" s="8">
        <v>45388</v>
      </c>
      <c r="E742" s="9" t="str">
        <f>+HYPERLINK("http://trademark.i-assist.jp/data/china/image_1882th/76103096.pdf","76103096")</f>
        <v>76103096</v>
      </c>
      <c r="F742" s="6" t="s">
        <v>2077</v>
      </c>
      <c r="G742" s="6" t="s">
        <v>2078</v>
      </c>
      <c r="H742" s="8" t="s">
        <v>2079</v>
      </c>
      <c r="I742" s="14">
        <v>45289</v>
      </c>
    </row>
    <row r="743" spans="1:9" x14ac:dyDescent="0.15">
      <c r="A743" s="5">
        <v>742</v>
      </c>
      <c r="B743" s="6" t="s">
        <v>9</v>
      </c>
      <c r="C743" s="7">
        <v>1882</v>
      </c>
      <c r="D743" s="8">
        <v>45388</v>
      </c>
      <c r="E743" s="9" t="str">
        <f>+HYPERLINK("http://trademark.i-assist.jp/data/china/image_1882th/76103324.pdf","76103324")</f>
        <v>76103324</v>
      </c>
      <c r="F743" s="6" t="s">
        <v>2080</v>
      </c>
      <c r="G743" s="6" t="s">
        <v>2081</v>
      </c>
      <c r="H743" s="8" t="s">
        <v>2082</v>
      </c>
      <c r="I743" s="14">
        <v>45289</v>
      </c>
    </row>
    <row r="744" spans="1:9" x14ac:dyDescent="0.15">
      <c r="A744" s="5">
        <v>743</v>
      </c>
      <c r="B744" s="6" t="s">
        <v>9</v>
      </c>
      <c r="C744" s="7">
        <v>1882</v>
      </c>
      <c r="D744" s="8">
        <v>45388</v>
      </c>
      <c r="E744" s="9" t="str">
        <f>+HYPERLINK("http://trademark.i-assist.jp/data/china/image_1882th/76103540.pdf","76103540")</f>
        <v>76103540</v>
      </c>
      <c r="F744" s="6" t="s">
        <v>2083</v>
      </c>
      <c r="G744" s="6" t="s">
        <v>1903</v>
      </c>
      <c r="H744" s="8" t="s">
        <v>2084</v>
      </c>
      <c r="I744" s="14">
        <v>45289</v>
      </c>
    </row>
    <row r="745" spans="1:9" x14ac:dyDescent="0.15">
      <c r="A745" s="5">
        <v>744</v>
      </c>
      <c r="B745" s="6" t="s">
        <v>9</v>
      </c>
      <c r="C745" s="7">
        <v>1882</v>
      </c>
      <c r="D745" s="8">
        <v>45388</v>
      </c>
      <c r="E745" s="9" t="str">
        <f>+HYPERLINK("http://trademark.i-assist.jp/data/china/image_1882th/76103811.pdf","76103811")</f>
        <v>76103811</v>
      </c>
      <c r="F745" s="6" t="s">
        <v>2085</v>
      </c>
      <c r="G745" s="6" t="s">
        <v>2086</v>
      </c>
      <c r="H745" s="8" t="s">
        <v>2087</v>
      </c>
      <c r="I745" s="14">
        <v>45289</v>
      </c>
    </row>
    <row r="746" spans="1:9" x14ac:dyDescent="0.15">
      <c r="A746" s="5">
        <v>745</v>
      </c>
      <c r="B746" s="6" t="s">
        <v>9</v>
      </c>
      <c r="C746" s="7">
        <v>1882</v>
      </c>
      <c r="D746" s="8">
        <v>45388</v>
      </c>
      <c r="E746" s="9" t="str">
        <f>+HYPERLINK("http://trademark.i-assist.jp/data/china/image_1882th/76103925.pdf","76103925")</f>
        <v>76103925</v>
      </c>
      <c r="F746" s="6" t="s">
        <v>2088</v>
      </c>
      <c r="G746" s="6" t="s">
        <v>2089</v>
      </c>
      <c r="H746" s="8" t="s">
        <v>2090</v>
      </c>
      <c r="I746" s="14">
        <v>45289</v>
      </c>
    </row>
    <row r="747" spans="1:9" x14ac:dyDescent="0.15">
      <c r="A747" s="5">
        <v>746</v>
      </c>
      <c r="B747" s="6" t="s">
        <v>9</v>
      </c>
      <c r="C747" s="7">
        <v>1882</v>
      </c>
      <c r="D747" s="8">
        <v>45388</v>
      </c>
      <c r="E747" s="9" t="str">
        <f>+HYPERLINK("http://trademark.i-assist.jp/data/china/image_1882th/76104322.pdf","76104322")</f>
        <v>76104322</v>
      </c>
      <c r="F747" s="6" t="s">
        <v>2091</v>
      </c>
      <c r="G747" s="6" t="s">
        <v>2092</v>
      </c>
      <c r="H747" s="8" t="s">
        <v>2093</v>
      </c>
      <c r="I747" s="14">
        <v>45289</v>
      </c>
    </row>
    <row r="748" spans="1:9" x14ac:dyDescent="0.15">
      <c r="A748" s="5">
        <v>747</v>
      </c>
      <c r="B748" s="6" t="s">
        <v>9</v>
      </c>
      <c r="C748" s="7">
        <v>1882</v>
      </c>
      <c r="D748" s="8">
        <v>45388</v>
      </c>
      <c r="E748" s="9" t="str">
        <f>+HYPERLINK("http://trademark.i-assist.jp/data/china/image_1882th/76104438.pdf","76104438")</f>
        <v>76104438</v>
      </c>
      <c r="F748" s="6" t="s">
        <v>2094</v>
      </c>
      <c r="G748" s="6" t="s">
        <v>2095</v>
      </c>
      <c r="H748" s="8" t="s">
        <v>2096</v>
      </c>
      <c r="I748" s="14">
        <v>45289</v>
      </c>
    </row>
    <row r="749" spans="1:9" x14ac:dyDescent="0.15">
      <c r="A749" s="5">
        <v>748</v>
      </c>
      <c r="B749" s="6" t="s">
        <v>9</v>
      </c>
      <c r="C749" s="7">
        <v>1882</v>
      </c>
      <c r="D749" s="8">
        <v>45388</v>
      </c>
      <c r="E749" s="9" t="str">
        <f>+HYPERLINK("http://trademark.i-assist.jp/data/china/image_1882th/76105682.pdf","76105682")</f>
        <v>76105682</v>
      </c>
      <c r="F749" s="6" t="s">
        <v>26</v>
      </c>
      <c r="G749" s="6" t="s">
        <v>2097</v>
      </c>
      <c r="H749" s="8" t="s">
        <v>2098</v>
      </c>
      <c r="I749" s="14">
        <v>45289</v>
      </c>
    </row>
    <row r="750" spans="1:9" x14ac:dyDescent="0.15">
      <c r="A750" s="5">
        <v>749</v>
      </c>
      <c r="B750" s="6" t="s">
        <v>9</v>
      </c>
      <c r="C750" s="7">
        <v>1882</v>
      </c>
      <c r="D750" s="8">
        <v>45388</v>
      </c>
      <c r="E750" s="9" t="str">
        <f>+HYPERLINK("http://trademark.i-assist.jp/data/china/image_1882th/76105821.pdf","76105821")</f>
        <v>76105821</v>
      </c>
      <c r="F750" s="6" t="s">
        <v>2099</v>
      </c>
      <c r="G750" s="6" t="s">
        <v>2100</v>
      </c>
      <c r="H750" s="8" t="s">
        <v>2101</v>
      </c>
      <c r="I750" s="14">
        <v>45289</v>
      </c>
    </row>
    <row r="751" spans="1:9" x14ac:dyDescent="0.15">
      <c r="A751" s="5">
        <v>750</v>
      </c>
      <c r="B751" s="6" t="s">
        <v>9</v>
      </c>
      <c r="C751" s="7">
        <v>1882</v>
      </c>
      <c r="D751" s="8">
        <v>45388</v>
      </c>
      <c r="E751" s="9" t="str">
        <f>+HYPERLINK("http://trademark.i-assist.jp/data/china/image_1882th/76105989.pdf","76105989")</f>
        <v>76105989</v>
      </c>
      <c r="F751" s="6" t="s">
        <v>2102</v>
      </c>
      <c r="G751" s="6" t="s">
        <v>2103</v>
      </c>
      <c r="H751" s="8" t="s">
        <v>2104</v>
      </c>
      <c r="I751" s="14">
        <v>45289</v>
      </c>
    </row>
    <row r="752" spans="1:9" x14ac:dyDescent="0.15">
      <c r="A752" s="5">
        <v>751</v>
      </c>
      <c r="B752" s="6" t="s">
        <v>9</v>
      </c>
      <c r="C752" s="7">
        <v>1882</v>
      </c>
      <c r="D752" s="8">
        <v>45388</v>
      </c>
      <c r="E752" s="9" t="str">
        <f>+HYPERLINK("http://trademark.i-assist.jp/data/china/image_1882th/76106298.pdf","76106298")</f>
        <v>76106298</v>
      </c>
      <c r="F752" s="6" t="s">
        <v>2105</v>
      </c>
      <c r="G752" s="6" t="s">
        <v>2106</v>
      </c>
      <c r="H752" s="8" t="s">
        <v>2107</v>
      </c>
      <c r="I752" s="14">
        <v>45289</v>
      </c>
    </row>
    <row r="753" spans="1:9" x14ac:dyDescent="0.15">
      <c r="A753" s="5">
        <v>752</v>
      </c>
      <c r="B753" s="6" t="s">
        <v>9</v>
      </c>
      <c r="C753" s="7">
        <v>1882</v>
      </c>
      <c r="D753" s="8">
        <v>45388</v>
      </c>
      <c r="E753" s="9" t="str">
        <f>+HYPERLINK("http://trademark.i-assist.jp/data/china/image_1882th/76106546.pdf","76106546")</f>
        <v>76106546</v>
      </c>
      <c r="F753" s="6" t="s">
        <v>26</v>
      </c>
      <c r="G753" s="6" t="s">
        <v>2108</v>
      </c>
      <c r="H753" s="8" t="s">
        <v>2109</v>
      </c>
      <c r="I753" s="14">
        <v>45289</v>
      </c>
    </row>
    <row r="754" spans="1:9" x14ac:dyDescent="0.15">
      <c r="A754" s="5">
        <v>753</v>
      </c>
      <c r="B754" s="6" t="s">
        <v>9</v>
      </c>
      <c r="C754" s="7">
        <v>1882</v>
      </c>
      <c r="D754" s="8">
        <v>45388</v>
      </c>
      <c r="E754" s="9" t="str">
        <f>+HYPERLINK("http://trademark.i-assist.jp/data/china/image_1882th/76106857.pdf","76106857")</f>
        <v>76106857</v>
      </c>
      <c r="F754" s="6" t="s">
        <v>2110</v>
      </c>
      <c r="G754" s="6" t="s">
        <v>2111</v>
      </c>
      <c r="H754" s="8" t="s">
        <v>2112</v>
      </c>
      <c r="I754" s="14">
        <v>45289</v>
      </c>
    </row>
    <row r="755" spans="1:9" x14ac:dyDescent="0.15">
      <c r="A755" s="5">
        <v>754</v>
      </c>
      <c r="B755" s="6" t="s">
        <v>9</v>
      </c>
      <c r="C755" s="7">
        <v>1882</v>
      </c>
      <c r="D755" s="8">
        <v>45388</v>
      </c>
      <c r="E755" s="9" t="str">
        <f>+HYPERLINK("http://trademark.i-assist.jp/data/china/image_1882th/76107874.pdf","76107874")</f>
        <v>76107874</v>
      </c>
      <c r="F755" s="6" t="s">
        <v>2113</v>
      </c>
      <c r="G755" s="6" t="s">
        <v>2095</v>
      </c>
      <c r="H755" s="8" t="s">
        <v>2114</v>
      </c>
      <c r="I755" s="14">
        <v>45289</v>
      </c>
    </row>
    <row r="756" spans="1:9" x14ac:dyDescent="0.15">
      <c r="A756" s="5">
        <v>755</v>
      </c>
      <c r="B756" s="6" t="s">
        <v>9</v>
      </c>
      <c r="C756" s="7">
        <v>1882</v>
      </c>
      <c r="D756" s="8">
        <v>45388</v>
      </c>
      <c r="E756" s="9" t="str">
        <f>+HYPERLINK("http://trademark.i-assist.jp/data/china/image_1882th/76108045.pdf","76108045")</f>
        <v>76108045</v>
      </c>
      <c r="F756" s="6" t="s">
        <v>2115</v>
      </c>
      <c r="G756" s="6" t="s">
        <v>2116</v>
      </c>
      <c r="H756" s="8" t="s">
        <v>2117</v>
      </c>
      <c r="I756" s="14">
        <v>45289</v>
      </c>
    </row>
    <row r="757" spans="1:9" x14ac:dyDescent="0.15">
      <c r="A757" s="5">
        <v>756</v>
      </c>
      <c r="B757" s="6" t="s">
        <v>9</v>
      </c>
      <c r="C757" s="7">
        <v>1882</v>
      </c>
      <c r="D757" s="8">
        <v>45388</v>
      </c>
      <c r="E757" s="9" t="str">
        <f>+HYPERLINK("http://trademark.i-assist.jp/data/china/image_1882th/76108121.pdf","76108121")</f>
        <v>76108121</v>
      </c>
      <c r="F757" s="6" t="s">
        <v>2118</v>
      </c>
      <c r="G757" s="6" t="s">
        <v>2119</v>
      </c>
      <c r="H757" s="8" t="s">
        <v>2120</v>
      </c>
      <c r="I757" s="14">
        <v>45289</v>
      </c>
    </row>
    <row r="758" spans="1:9" x14ac:dyDescent="0.15">
      <c r="A758" s="5">
        <v>757</v>
      </c>
      <c r="B758" s="6" t="s">
        <v>9</v>
      </c>
      <c r="C758" s="7">
        <v>1882</v>
      </c>
      <c r="D758" s="8">
        <v>45388</v>
      </c>
      <c r="E758" s="9" t="str">
        <f>+HYPERLINK("http://trademark.i-assist.jp/data/china/image_1882th/76108153.pdf","76108153")</f>
        <v>76108153</v>
      </c>
      <c r="F758" s="6" t="s">
        <v>2121</v>
      </c>
      <c r="G758" s="6" t="s">
        <v>2122</v>
      </c>
      <c r="H758" s="8" t="s">
        <v>2123</v>
      </c>
      <c r="I758" s="14">
        <v>45289</v>
      </c>
    </row>
    <row r="759" spans="1:9" x14ac:dyDescent="0.15">
      <c r="A759" s="5">
        <v>758</v>
      </c>
      <c r="B759" s="6" t="s">
        <v>9</v>
      </c>
      <c r="C759" s="7">
        <v>1882</v>
      </c>
      <c r="D759" s="8">
        <v>45388</v>
      </c>
      <c r="E759" s="9" t="str">
        <f>+HYPERLINK("http://trademark.i-assist.jp/data/china/image_1882th/76108289.pdf","76108289")</f>
        <v>76108289</v>
      </c>
      <c r="F759" s="6" t="s">
        <v>1902</v>
      </c>
      <c r="G759" s="6" t="s">
        <v>1903</v>
      </c>
      <c r="H759" s="8" t="s">
        <v>2124</v>
      </c>
      <c r="I759" s="14">
        <v>45289</v>
      </c>
    </row>
    <row r="760" spans="1:9" x14ac:dyDescent="0.15">
      <c r="A760" s="5">
        <v>759</v>
      </c>
      <c r="B760" s="6" t="s">
        <v>9</v>
      </c>
      <c r="C760" s="7">
        <v>1882</v>
      </c>
      <c r="D760" s="8">
        <v>45388</v>
      </c>
      <c r="E760" s="9" t="str">
        <f>+HYPERLINK("http://trademark.i-assist.jp/data/china/image_1882th/76108657.pdf","76108657")</f>
        <v>76108657</v>
      </c>
      <c r="F760" s="6" t="s">
        <v>2125</v>
      </c>
      <c r="G760" s="6" t="s">
        <v>2126</v>
      </c>
      <c r="H760" s="8" t="s">
        <v>2127</v>
      </c>
      <c r="I760" s="14">
        <v>45289</v>
      </c>
    </row>
    <row r="761" spans="1:9" x14ac:dyDescent="0.15">
      <c r="A761" s="5">
        <v>760</v>
      </c>
      <c r="B761" s="6" t="s">
        <v>9</v>
      </c>
      <c r="C761" s="7">
        <v>1882</v>
      </c>
      <c r="D761" s="8">
        <v>45388</v>
      </c>
      <c r="E761" s="9" t="str">
        <f>+HYPERLINK("http://trademark.i-assist.jp/data/china/image_1882th/76109140.pdf","76109140")</f>
        <v>76109140</v>
      </c>
      <c r="F761" s="6" t="s">
        <v>2128</v>
      </c>
      <c r="G761" s="6" t="s">
        <v>2129</v>
      </c>
      <c r="H761" s="8" t="s">
        <v>2130</v>
      </c>
      <c r="I761" s="14">
        <v>45289</v>
      </c>
    </row>
    <row r="762" spans="1:9" x14ac:dyDescent="0.15">
      <c r="A762" s="5">
        <v>761</v>
      </c>
      <c r="B762" s="6" t="s">
        <v>9</v>
      </c>
      <c r="C762" s="7">
        <v>1882</v>
      </c>
      <c r="D762" s="8">
        <v>45388</v>
      </c>
      <c r="E762" s="9" t="str">
        <f>+HYPERLINK("http://trademark.i-assist.jp/data/china/image_1882th/76109991.pdf","76109991")</f>
        <v>76109991</v>
      </c>
      <c r="F762" s="6" t="s">
        <v>2131</v>
      </c>
      <c r="G762" s="6" t="s">
        <v>2132</v>
      </c>
      <c r="H762" s="8" t="s">
        <v>2133</v>
      </c>
      <c r="I762" s="14">
        <v>45289</v>
      </c>
    </row>
    <row r="763" spans="1:9" x14ac:dyDescent="0.15">
      <c r="A763" s="5">
        <v>762</v>
      </c>
      <c r="B763" s="6" t="s">
        <v>9</v>
      </c>
      <c r="C763" s="7">
        <v>1882</v>
      </c>
      <c r="D763" s="8">
        <v>45388</v>
      </c>
      <c r="E763" s="9" t="str">
        <f>+HYPERLINK("http://trademark.i-assist.jp/data/china/image_1882th/76110512.pdf","76110512")</f>
        <v>76110512</v>
      </c>
      <c r="F763" s="6" t="s">
        <v>2134</v>
      </c>
      <c r="G763" s="6" t="s">
        <v>2135</v>
      </c>
      <c r="H763" s="8" t="s">
        <v>2136</v>
      </c>
      <c r="I763" s="14">
        <v>45289</v>
      </c>
    </row>
    <row r="764" spans="1:9" x14ac:dyDescent="0.15">
      <c r="A764" s="5">
        <v>763</v>
      </c>
      <c r="B764" s="6" t="s">
        <v>9</v>
      </c>
      <c r="C764" s="7">
        <v>1882</v>
      </c>
      <c r="D764" s="8">
        <v>45388</v>
      </c>
      <c r="E764" s="9" t="str">
        <f>+HYPERLINK("http://trademark.i-assist.jp/data/china/image_1882th/76110551.pdf","76110551")</f>
        <v>76110551</v>
      </c>
      <c r="F764" s="6" t="s">
        <v>2137</v>
      </c>
      <c r="G764" s="6" t="s">
        <v>2138</v>
      </c>
      <c r="H764" s="8" t="s">
        <v>2139</v>
      </c>
      <c r="I764" s="14">
        <v>45289</v>
      </c>
    </row>
    <row r="765" spans="1:9" x14ac:dyDescent="0.15">
      <c r="A765" s="5">
        <v>764</v>
      </c>
      <c r="B765" s="6" t="s">
        <v>9</v>
      </c>
      <c r="C765" s="7">
        <v>1882</v>
      </c>
      <c r="D765" s="8">
        <v>45388</v>
      </c>
      <c r="E765" s="9" t="str">
        <f>+HYPERLINK("http://trademark.i-assist.jp/data/china/image_1882th/76110701.pdf","76110701")</f>
        <v>76110701</v>
      </c>
      <c r="F765" s="6" t="s">
        <v>2140</v>
      </c>
      <c r="G765" s="6" t="s">
        <v>2095</v>
      </c>
      <c r="H765" s="8" t="s">
        <v>2141</v>
      </c>
      <c r="I765" s="14">
        <v>45289</v>
      </c>
    </row>
    <row r="766" spans="1:9" x14ac:dyDescent="0.15">
      <c r="A766" s="5">
        <v>765</v>
      </c>
      <c r="B766" s="6" t="s">
        <v>9</v>
      </c>
      <c r="C766" s="7">
        <v>1882</v>
      </c>
      <c r="D766" s="8">
        <v>45388</v>
      </c>
      <c r="E766" s="9" t="str">
        <f>+HYPERLINK("http://trademark.i-assist.jp/data/china/image_1882th/76110716.pdf","76110716")</f>
        <v>76110716</v>
      </c>
      <c r="F766" s="6" t="s">
        <v>2142</v>
      </c>
      <c r="G766" s="6" t="s">
        <v>2143</v>
      </c>
      <c r="H766" s="8" t="s">
        <v>2144</v>
      </c>
      <c r="I766" s="14">
        <v>45289</v>
      </c>
    </row>
    <row r="767" spans="1:9" x14ac:dyDescent="0.15">
      <c r="A767" s="5">
        <v>766</v>
      </c>
      <c r="B767" s="6" t="s">
        <v>9</v>
      </c>
      <c r="C767" s="7">
        <v>1882</v>
      </c>
      <c r="D767" s="8">
        <v>45388</v>
      </c>
      <c r="E767" s="9" t="str">
        <f>+HYPERLINK("http://trademark.i-assist.jp/data/china/image_1882th/76110728.pdf","76110728")</f>
        <v>76110728</v>
      </c>
      <c r="F767" s="6" t="s">
        <v>26</v>
      </c>
      <c r="G767" s="6" t="s">
        <v>2145</v>
      </c>
      <c r="H767" s="8" t="s">
        <v>2146</v>
      </c>
      <c r="I767" s="14">
        <v>45289</v>
      </c>
    </row>
    <row r="768" spans="1:9" x14ac:dyDescent="0.15">
      <c r="A768" s="5">
        <v>767</v>
      </c>
      <c r="B768" s="6" t="s">
        <v>9</v>
      </c>
      <c r="C768" s="7">
        <v>1882</v>
      </c>
      <c r="D768" s="8">
        <v>45388</v>
      </c>
      <c r="E768" s="9" t="str">
        <f>+HYPERLINK("http://trademark.i-assist.jp/data/china/image_1882th/76110734.pdf","76110734")</f>
        <v>76110734</v>
      </c>
      <c r="F768" s="6" t="s">
        <v>2147</v>
      </c>
      <c r="G768" s="6" t="s">
        <v>2148</v>
      </c>
      <c r="H768" s="8" t="s">
        <v>2149</v>
      </c>
      <c r="I768" s="14">
        <v>45289</v>
      </c>
    </row>
    <row r="769" spans="1:9" x14ac:dyDescent="0.15">
      <c r="A769" s="5">
        <v>768</v>
      </c>
      <c r="B769" s="6" t="s">
        <v>9</v>
      </c>
      <c r="C769" s="7">
        <v>1882</v>
      </c>
      <c r="D769" s="8">
        <v>45388</v>
      </c>
      <c r="E769" s="9" t="str">
        <f>+HYPERLINK("http://trademark.i-assist.jp/data/china/image_1882th/76110823.pdf","76110823")</f>
        <v>76110823</v>
      </c>
      <c r="F769" s="6" t="s">
        <v>2150</v>
      </c>
      <c r="G769" s="6" t="s">
        <v>2151</v>
      </c>
      <c r="H769" s="8" t="s">
        <v>2152</v>
      </c>
      <c r="I769" s="14">
        <v>45289</v>
      </c>
    </row>
    <row r="770" spans="1:9" x14ac:dyDescent="0.15">
      <c r="A770" s="5">
        <v>769</v>
      </c>
      <c r="B770" s="6" t="s">
        <v>9</v>
      </c>
      <c r="C770" s="7">
        <v>1882</v>
      </c>
      <c r="D770" s="8">
        <v>45388</v>
      </c>
      <c r="E770" s="9" t="str">
        <f>+HYPERLINK("http://trademark.i-assist.jp/data/china/image_1882th/76112200.pdf","76112200")</f>
        <v>76112200</v>
      </c>
      <c r="F770" s="6" t="s">
        <v>26</v>
      </c>
      <c r="G770" s="6" t="s">
        <v>2153</v>
      </c>
      <c r="H770" s="8" t="s">
        <v>2154</v>
      </c>
      <c r="I770" s="14">
        <v>45289</v>
      </c>
    </row>
    <row r="771" spans="1:9" x14ac:dyDescent="0.15">
      <c r="A771" s="5">
        <v>770</v>
      </c>
      <c r="B771" s="6" t="s">
        <v>9</v>
      </c>
      <c r="C771" s="7">
        <v>1882</v>
      </c>
      <c r="D771" s="8">
        <v>45388</v>
      </c>
      <c r="E771" s="9" t="str">
        <f>+HYPERLINK("http://trademark.i-assist.jp/data/china/image_1882th/76112415.pdf","76112415")</f>
        <v>76112415</v>
      </c>
      <c r="F771" s="6" t="s">
        <v>2155</v>
      </c>
      <c r="G771" s="6" t="s">
        <v>2037</v>
      </c>
      <c r="H771" s="8" t="s">
        <v>2156</v>
      </c>
      <c r="I771" s="14">
        <v>45289</v>
      </c>
    </row>
    <row r="772" spans="1:9" x14ac:dyDescent="0.15">
      <c r="A772" s="5">
        <v>771</v>
      </c>
      <c r="B772" s="6" t="s">
        <v>9</v>
      </c>
      <c r="C772" s="7">
        <v>1882</v>
      </c>
      <c r="D772" s="8">
        <v>45388</v>
      </c>
      <c r="E772" s="9" t="str">
        <f>+HYPERLINK("http://trademark.i-assist.jp/data/china/image_1882th/76112596.pdf","76112596")</f>
        <v>76112596</v>
      </c>
      <c r="F772" s="6" t="s">
        <v>2157</v>
      </c>
      <c r="G772" s="6" t="s">
        <v>2158</v>
      </c>
      <c r="H772" s="8" t="s">
        <v>2159</v>
      </c>
      <c r="I772" s="14">
        <v>45289</v>
      </c>
    </row>
    <row r="773" spans="1:9" x14ac:dyDescent="0.15">
      <c r="A773" s="5">
        <v>772</v>
      </c>
      <c r="B773" s="6" t="s">
        <v>9</v>
      </c>
      <c r="C773" s="7">
        <v>1882</v>
      </c>
      <c r="D773" s="8">
        <v>45388</v>
      </c>
      <c r="E773" s="9" t="str">
        <f>+HYPERLINK("http://trademark.i-assist.jp/data/china/image_1882th/76112683.pdf","76112683")</f>
        <v>76112683</v>
      </c>
      <c r="F773" s="6" t="s">
        <v>2160</v>
      </c>
      <c r="G773" s="6" t="s">
        <v>2161</v>
      </c>
      <c r="H773" s="8" t="s">
        <v>2162</v>
      </c>
      <c r="I773" s="14">
        <v>45289</v>
      </c>
    </row>
    <row r="774" spans="1:9" x14ac:dyDescent="0.15">
      <c r="A774" s="5">
        <v>773</v>
      </c>
      <c r="B774" s="6" t="s">
        <v>9</v>
      </c>
      <c r="C774" s="7">
        <v>1882</v>
      </c>
      <c r="D774" s="8">
        <v>45388</v>
      </c>
      <c r="E774" s="9" t="str">
        <f>+HYPERLINK("http://trademark.i-assist.jp/data/china/image_1882th/76112708.pdf","76112708")</f>
        <v>76112708</v>
      </c>
      <c r="F774" s="6" t="s">
        <v>2163</v>
      </c>
      <c r="G774" s="6" t="s">
        <v>2164</v>
      </c>
      <c r="H774" s="8" t="s">
        <v>2165</v>
      </c>
      <c r="I774" s="14">
        <v>45289</v>
      </c>
    </row>
    <row r="775" spans="1:9" x14ac:dyDescent="0.15">
      <c r="A775" s="5">
        <v>774</v>
      </c>
      <c r="B775" s="6" t="s">
        <v>9</v>
      </c>
      <c r="C775" s="7">
        <v>1882</v>
      </c>
      <c r="D775" s="8">
        <v>45388</v>
      </c>
      <c r="E775" s="9" t="str">
        <f>+HYPERLINK("http://trademark.i-assist.jp/data/china/image_1882th/76112834.pdf","76112834")</f>
        <v>76112834</v>
      </c>
      <c r="F775" s="6" t="s">
        <v>2166</v>
      </c>
      <c r="G775" s="6" t="s">
        <v>2167</v>
      </c>
      <c r="H775" s="8" t="s">
        <v>2168</v>
      </c>
      <c r="I775" s="14">
        <v>45289</v>
      </c>
    </row>
    <row r="776" spans="1:9" x14ac:dyDescent="0.15">
      <c r="A776" s="5">
        <v>775</v>
      </c>
      <c r="B776" s="6" t="s">
        <v>9</v>
      </c>
      <c r="C776" s="7">
        <v>1882</v>
      </c>
      <c r="D776" s="8">
        <v>45388</v>
      </c>
      <c r="E776" s="9" t="str">
        <f>+HYPERLINK("http://trademark.i-assist.jp/data/china/image_1882th/76112885.pdf","76112885")</f>
        <v>76112885</v>
      </c>
      <c r="F776" s="6" t="s">
        <v>2169</v>
      </c>
      <c r="G776" s="6" t="s">
        <v>2170</v>
      </c>
      <c r="H776" s="8" t="s">
        <v>2171</v>
      </c>
      <c r="I776" s="14">
        <v>45289</v>
      </c>
    </row>
    <row r="777" spans="1:9" x14ac:dyDescent="0.15">
      <c r="A777" s="5">
        <v>776</v>
      </c>
      <c r="B777" s="6" t="s">
        <v>9</v>
      </c>
      <c r="C777" s="7">
        <v>1882</v>
      </c>
      <c r="D777" s="8">
        <v>45388</v>
      </c>
      <c r="E777" s="9" t="str">
        <f>+HYPERLINK("http://trademark.i-assist.jp/data/china/image_1882th/76112955.pdf","76112955")</f>
        <v>76112955</v>
      </c>
      <c r="F777" s="6" t="s">
        <v>2172</v>
      </c>
      <c r="G777" s="6" t="s">
        <v>2173</v>
      </c>
      <c r="H777" s="8" t="s">
        <v>2174</v>
      </c>
      <c r="I777" s="14">
        <v>45289</v>
      </c>
    </row>
    <row r="778" spans="1:9" x14ac:dyDescent="0.15">
      <c r="A778" s="5">
        <v>777</v>
      </c>
      <c r="B778" s="6" t="s">
        <v>9</v>
      </c>
      <c r="C778" s="7">
        <v>1882</v>
      </c>
      <c r="D778" s="8">
        <v>45388</v>
      </c>
      <c r="E778" s="9" t="str">
        <f>+HYPERLINK("http://trademark.i-assist.jp/data/china/image_1882th/76112975.pdf","76112975")</f>
        <v>76112975</v>
      </c>
      <c r="F778" s="6" t="s">
        <v>2175</v>
      </c>
      <c r="G778" s="6" t="s">
        <v>2176</v>
      </c>
      <c r="H778" s="8" t="s">
        <v>2177</v>
      </c>
      <c r="I778" s="14">
        <v>45289</v>
      </c>
    </row>
    <row r="779" spans="1:9" x14ac:dyDescent="0.15">
      <c r="A779" s="5">
        <v>778</v>
      </c>
      <c r="B779" s="6" t="s">
        <v>9</v>
      </c>
      <c r="C779" s="7">
        <v>1882</v>
      </c>
      <c r="D779" s="8">
        <v>45388</v>
      </c>
      <c r="E779" s="9" t="str">
        <f>+HYPERLINK("http://trademark.i-assist.jp/data/china/image_1882th/76113019.pdf","76113019")</f>
        <v>76113019</v>
      </c>
      <c r="F779" s="6" t="s">
        <v>2178</v>
      </c>
      <c r="G779" s="6" t="s">
        <v>2179</v>
      </c>
      <c r="H779" s="8" t="s">
        <v>2180</v>
      </c>
      <c r="I779" s="14">
        <v>45289</v>
      </c>
    </row>
    <row r="780" spans="1:9" x14ac:dyDescent="0.15">
      <c r="A780" s="5">
        <v>779</v>
      </c>
      <c r="B780" s="6" t="s">
        <v>9</v>
      </c>
      <c r="C780" s="7">
        <v>1882</v>
      </c>
      <c r="D780" s="8">
        <v>45388</v>
      </c>
      <c r="E780" s="9" t="str">
        <f>+HYPERLINK("http://trademark.i-assist.jp/data/china/image_1882th/76113137.pdf","76113137")</f>
        <v>76113137</v>
      </c>
      <c r="F780" s="6" t="s">
        <v>2181</v>
      </c>
      <c r="G780" s="6" t="s">
        <v>2182</v>
      </c>
      <c r="H780" s="8" t="s">
        <v>2183</v>
      </c>
      <c r="I780" s="14">
        <v>45289</v>
      </c>
    </row>
    <row r="781" spans="1:9" x14ac:dyDescent="0.15">
      <c r="A781" s="5">
        <v>780</v>
      </c>
      <c r="B781" s="6" t="s">
        <v>9</v>
      </c>
      <c r="C781" s="7">
        <v>1882</v>
      </c>
      <c r="D781" s="8">
        <v>45388</v>
      </c>
      <c r="E781" s="9" t="str">
        <f>+HYPERLINK("http://trademark.i-assist.jp/data/china/image_1882th/76113259.pdf","76113259")</f>
        <v>76113259</v>
      </c>
      <c r="F781" s="6" t="s">
        <v>2184</v>
      </c>
      <c r="G781" s="6" t="s">
        <v>2185</v>
      </c>
      <c r="H781" s="8" t="s">
        <v>2186</v>
      </c>
      <c r="I781" s="14">
        <v>45289</v>
      </c>
    </row>
    <row r="782" spans="1:9" x14ac:dyDescent="0.15">
      <c r="A782" s="5">
        <v>781</v>
      </c>
      <c r="B782" s="6" t="s">
        <v>9</v>
      </c>
      <c r="C782" s="7">
        <v>1882</v>
      </c>
      <c r="D782" s="8">
        <v>45388</v>
      </c>
      <c r="E782" s="9" t="str">
        <f>+HYPERLINK("http://trademark.i-assist.jp/data/china/image_1882th/76113608.pdf","76113608")</f>
        <v>76113608</v>
      </c>
      <c r="F782" s="6" t="s">
        <v>2187</v>
      </c>
      <c r="G782" s="6" t="s">
        <v>2188</v>
      </c>
      <c r="H782" s="8" t="s">
        <v>2189</v>
      </c>
      <c r="I782" s="14">
        <v>45289</v>
      </c>
    </row>
    <row r="783" spans="1:9" x14ac:dyDescent="0.15">
      <c r="A783" s="5">
        <v>782</v>
      </c>
      <c r="B783" s="6" t="s">
        <v>9</v>
      </c>
      <c r="C783" s="7">
        <v>1882</v>
      </c>
      <c r="D783" s="8">
        <v>45388</v>
      </c>
      <c r="E783" s="9" t="str">
        <f>+HYPERLINK("http://trademark.i-assist.jp/data/china/image_1882th/76113776.pdf","76113776")</f>
        <v>76113776</v>
      </c>
      <c r="F783" s="6" t="s">
        <v>2190</v>
      </c>
      <c r="G783" s="6" t="s">
        <v>2191</v>
      </c>
      <c r="H783" s="8" t="s">
        <v>2192</v>
      </c>
      <c r="I783" s="14">
        <v>45289</v>
      </c>
    </row>
    <row r="784" spans="1:9" x14ac:dyDescent="0.15">
      <c r="A784" s="5">
        <v>783</v>
      </c>
      <c r="B784" s="6" t="s">
        <v>9</v>
      </c>
      <c r="C784" s="7">
        <v>1882</v>
      </c>
      <c r="D784" s="8">
        <v>45388</v>
      </c>
      <c r="E784" s="9" t="str">
        <f>+HYPERLINK("http://trademark.i-assist.jp/data/china/image_1882th/76114193.pdf","76114193")</f>
        <v>76114193</v>
      </c>
      <c r="F784" s="6" t="s">
        <v>2193</v>
      </c>
      <c r="G784" s="6" t="s">
        <v>2194</v>
      </c>
      <c r="H784" s="8" t="s">
        <v>2195</v>
      </c>
      <c r="I784" s="14">
        <v>45289</v>
      </c>
    </row>
    <row r="785" spans="1:9" x14ac:dyDescent="0.15">
      <c r="A785" s="5">
        <v>784</v>
      </c>
      <c r="B785" s="6" t="s">
        <v>9</v>
      </c>
      <c r="C785" s="7">
        <v>1882</v>
      </c>
      <c r="D785" s="8">
        <v>45388</v>
      </c>
      <c r="E785" s="9" t="str">
        <f>+HYPERLINK("http://trademark.i-assist.jp/data/china/image_1882th/76114885.pdf","76114885")</f>
        <v>76114885</v>
      </c>
      <c r="F785" s="6" t="s">
        <v>2196</v>
      </c>
      <c r="G785" s="6" t="s">
        <v>112</v>
      </c>
      <c r="H785" s="8" t="s">
        <v>2197</v>
      </c>
      <c r="I785" s="14">
        <v>45289</v>
      </c>
    </row>
    <row r="786" spans="1:9" x14ac:dyDescent="0.15">
      <c r="A786" s="5">
        <v>785</v>
      </c>
      <c r="B786" s="6" t="s">
        <v>9</v>
      </c>
      <c r="C786" s="7">
        <v>1882</v>
      </c>
      <c r="D786" s="8">
        <v>45388</v>
      </c>
      <c r="E786" s="9" t="str">
        <f>+HYPERLINK("http://trademark.i-assist.jp/data/china/image_1882th/76115136.pdf","76115136")</f>
        <v>76115136</v>
      </c>
      <c r="F786" s="6" t="s">
        <v>2198</v>
      </c>
      <c r="G786" s="6" t="s">
        <v>2199</v>
      </c>
      <c r="H786" s="8" t="s">
        <v>2200</v>
      </c>
      <c r="I786" s="14">
        <v>45289</v>
      </c>
    </row>
    <row r="787" spans="1:9" x14ac:dyDescent="0.15">
      <c r="A787" s="5">
        <v>786</v>
      </c>
      <c r="B787" s="6" t="s">
        <v>9</v>
      </c>
      <c r="C787" s="7">
        <v>1882</v>
      </c>
      <c r="D787" s="8">
        <v>45388</v>
      </c>
      <c r="E787" s="9" t="str">
        <f>+HYPERLINK("http://trademark.i-assist.jp/data/china/image_1882th/76115544.pdf","76115544")</f>
        <v>76115544</v>
      </c>
      <c r="F787" s="6" t="s">
        <v>2201</v>
      </c>
      <c r="G787" s="6" t="s">
        <v>2202</v>
      </c>
      <c r="H787" s="8" t="s">
        <v>2203</v>
      </c>
      <c r="I787" s="14">
        <v>45289</v>
      </c>
    </row>
    <row r="788" spans="1:9" x14ac:dyDescent="0.15">
      <c r="A788" s="5">
        <v>787</v>
      </c>
      <c r="B788" s="6" t="s">
        <v>9</v>
      </c>
      <c r="C788" s="7">
        <v>1882</v>
      </c>
      <c r="D788" s="8">
        <v>45388</v>
      </c>
      <c r="E788" s="9" t="str">
        <f>+HYPERLINK("http://trademark.i-assist.jp/data/china/image_1882th/76116349.pdf","76116349")</f>
        <v>76116349</v>
      </c>
      <c r="F788" s="6" t="s">
        <v>2204</v>
      </c>
      <c r="G788" s="6" t="s">
        <v>2205</v>
      </c>
      <c r="H788" s="8" t="s">
        <v>2206</v>
      </c>
      <c r="I788" s="14">
        <v>45289</v>
      </c>
    </row>
    <row r="789" spans="1:9" x14ac:dyDescent="0.15">
      <c r="A789" s="5">
        <v>788</v>
      </c>
      <c r="B789" s="6" t="s">
        <v>9</v>
      </c>
      <c r="C789" s="7">
        <v>1882</v>
      </c>
      <c r="D789" s="8">
        <v>45388</v>
      </c>
      <c r="E789" s="9" t="str">
        <f>+HYPERLINK("http://trademark.i-assist.jp/data/china/image_1882th/76116358.pdf","76116358")</f>
        <v>76116358</v>
      </c>
      <c r="F789" s="6" t="s">
        <v>2207</v>
      </c>
      <c r="G789" s="6" t="s">
        <v>2208</v>
      </c>
      <c r="H789" s="8" t="s">
        <v>2209</v>
      </c>
      <c r="I789" s="14">
        <v>45289</v>
      </c>
    </row>
    <row r="790" spans="1:9" x14ac:dyDescent="0.15">
      <c r="A790" s="5">
        <v>789</v>
      </c>
      <c r="B790" s="6" t="s">
        <v>9</v>
      </c>
      <c r="C790" s="7">
        <v>1882</v>
      </c>
      <c r="D790" s="8">
        <v>45388</v>
      </c>
      <c r="E790" s="9" t="str">
        <f>+HYPERLINK("http://trademark.i-assist.jp/data/china/image_1882th/76116788.pdf","76116788")</f>
        <v>76116788</v>
      </c>
      <c r="F790" s="6" t="s">
        <v>2210</v>
      </c>
      <c r="G790" s="6" t="s">
        <v>2211</v>
      </c>
      <c r="H790" s="8" t="s">
        <v>2212</v>
      </c>
      <c r="I790" s="14">
        <v>45289</v>
      </c>
    </row>
    <row r="791" spans="1:9" x14ac:dyDescent="0.15">
      <c r="A791" s="5">
        <v>790</v>
      </c>
      <c r="B791" s="6" t="s">
        <v>9</v>
      </c>
      <c r="C791" s="7">
        <v>1882</v>
      </c>
      <c r="D791" s="8">
        <v>45388</v>
      </c>
      <c r="E791" s="9" t="str">
        <f>+HYPERLINK("http://trademark.i-assist.jp/data/china/image_1882th/76117099.pdf","76117099")</f>
        <v>76117099</v>
      </c>
      <c r="F791" s="6" t="s">
        <v>2213</v>
      </c>
      <c r="G791" s="6" t="s">
        <v>2214</v>
      </c>
      <c r="H791" s="8" t="s">
        <v>2215</v>
      </c>
      <c r="I791" s="14">
        <v>45289</v>
      </c>
    </row>
    <row r="792" spans="1:9" x14ac:dyDescent="0.15">
      <c r="A792" s="5">
        <v>791</v>
      </c>
      <c r="B792" s="6" t="s">
        <v>9</v>
      </c>
      <c r="C792" s="7">
        <v>1882</v>
      </c>
      <c r="D792" s="8">
        <v>45388</v>
      </c>
      <c r="E792" s="9" t="str">
        <f>+HYPERLINK("http://trademark.i-assist.jp/data/china/image_1882th/76117308.pdf","76117308")</f>
        <v>76117308</v>
      </c>
      <c r="F792" s="6" t="s">
        <v>2216</v>
      </c>
      <c r="G792" s="6" t="s">
        <v>2217</v>
      </c>
      <c r="H792" s="8" t="s">
        <v>2218</v>
      </c>
      <c r="I792" s="14">
        <v>45289</v>
      </c>
    </row>
    <row r="793" spans="1:9" x14ac:dyDescent="0.15">
      <c r="A793" s="5">
        <v>792</v>
      </c>
      <c r="B793" s="6" t="s">
        <v>9</v>
      </c>
      <c r="C793" s="7">
        <v>1882</v>
      </c>
      <c r="D793" s="8">
        <v>45388</v>
      </c>
      <c r="E793" s="9" t="str">
        <f>+HYPERLINK("http://trademark.i-assist.jp/data/china/image_1882th/76117333.pdf","76117333")</f>
        <v>76117333</v>
      </c>
      <c r="F793" s="6" t="s">
        <v>2219</v>
      </c>
      <c r="G793" s="6" t="s">
        <v>2220</v>
      </c>
      <c r="H793" s="8" t="s">
        <v>2221</v>
      </c>
      <c r="I793" s="14">
        <v>45289</v>
      </c>
    </row>
    <row r="794" spans="1:9" x14ac:dyDescent="0.15">
      <c r="A794" s="5">
        <v>793</v>
      </c>
      <c r="B794" s="6" t="s">
        <v>9</v>
      </c>
      <c r="C794" s="7">
        <v>1882</v>
      </c>
      <c r="D794" s="8">
        <v>45388</v>
      </c>
      <c r="E794" s="9" t="str">
        <f>+HYPERLINK("http://trademark.i-assist.jp/data/china/image_1882th/76117371.pdf","76117371")</f>
        <v>76117371</v>
      </c>
      <c r="F794" s="6" t="s">
        <v>2222</v>
      </c>
      <c r="G794" s="6" t="s">
        <v>2223</v>
      </c>
      <c r="H794" s="8" t="s">
        <v>2224</v>
      </c>
      <c r="I794" s="14">
        <v>45289</v>
      </c>
    </row>
    <row r="795" spans="1:9" x14ac:dyDescent="0.15">
      <c r="A795" s="5">
        <v>794</v>
      </c>
      <c r="B795" s="6" t="s">
        <v>9</v>
      </c>
      <c r="C795" s="7">
        <v>1882</v>
      </c>
      <c r="D795" s="8">
        <v>45388</v>
      </c>
      <c r="E795" s="9" t="str">
        <f>+HYPERLINK("http://trademark.i-assist.jp/data/china/image_1882th/76117414.pdf","76117414")</f>
        <v>76117414</v>
      </c>
      <c r="F795" s="6" t="s">
        <v>2225</v>
      </c>
      <c r="G795" s="6" t="s">
        <v>1509</v>
      </c>
      <c r="H795" s="8" t="s">
        <v>2226</v>
      </c>
      <c r="I795" s="14">
        <v>45289</v>
      </c>
    </row>
    <row r="796" spans="1:9" x14ac:dyDescent="0.15">
      <c r="A796" s="5">
        <v>795</v>
      </c>
      <c r="B796" s="6" t="s">
        <v>9</v>
      </c>
      <c r="C796" s="7">
        <v>1882</v>
      </c>
      <c r="D796" s="8">
        <v>45388</v>
      </c>
      <c r="E796" s="9" t="str">
        <f>+HYPERLINK("http://trademark.i-assist.jp/data/china/image_1882th/76117578.pdf","76117578")</f>
        <v>76117578</v>
      </c>
      <c r="F796" s="6" t="s">
        <v>2227</v>
      </c>
      <c r="G796" s="6" t="s">
        <v>2228</v>
      </c>
      <c r="H796" s="8" t="s">
        <v>2229</v>
      </c>
      <c r="I796" s="14">
        <v>45289</v>
      </c>
    </row>
    <row r="797" spans="1:9" x14ac:dyDescent="0.15">
      <c r="A797" s="5">
        <v>796</v>
      </c>
      <c r="B797" s="6" t="s">
        <v>9</v>
      </c>
      <c r="C797" s="7">
        <v>1882</v>
      </c>
      <c r="D797" s="8">
        <v>45388</v>
      </c>
      <c r="E797" s="9" t="str">
        <f>+HYPERLINK("http://trademark.i-assist.jp/data/china/image_1882th/76118101.pdf","76118101")</f>
        <v>76118101</v>
      </c>
      <c r="F797" s="6" t="s">
        <v>2230</v>
      </c>
      <c r="G797" s="6" t="s">
        <v>2231</v>
      </c>
      <c r="H797" s="8" t="s">
        <v>2232</v>
      </c>
      <c r="I797" s="14">
        <v>45289</v>
      </c>
    </row>
    <row r="798" spans="1:9" x14ac:dyDescent="0.15">
      <c r="A798" s="5">
        <v>797</v>
      </c>
      <c r="B798" s="6" t="s">
        <v>9</v>
      </c>
      <c r="C798" s="7">
        <v>1882</v>
      </c>
      <c r="D798" s="8">
        <v>45388</v>
      </c>
      <c r="E798" s="9" t="str">
        <f>+HYPERLINK("http://trademark.i-assist.jp/data/china/image_1882th/76118483.pdf","76118483")</f>
        <v>76118483</v>
      </c>
      <c r="F798" s="6" t="s">
        <v>2233</v>
      </c>
      <c r="G798" s="6" t="s">
        <v>2234</v>
      </c>
      <c r="H798" s="8" t="s">
        <v>2235</v>
      </c>
      <c r="I798" s="14">
        <v>45289</v>
      </c>
    </row>
    <row r="799" spans="1:9" x14ac:dyDescent="0.15">
      <c r="A799" s="5">
        <v>798</v>
      </c>
      <c r="B799" s="6" t="s">
        <v>9</v>
      </c>
      <c r="C799" s="7">
        <v>1882</v>
      </c>
      <c r="D799" s="8">
        <v>45388</v>
      </c>
      <c r="E799" s="9" t="str">
        <f>+HYPERLINK("http://trademark.i-assist.jp/data/china/image_1882th/76118827.pdf","76118827")</f>
        <v>76118827</v>
      </c>
      <c r="F799" s="6" t="s">
        <v>2236</v>
      </c>
      <c r="G799" s="6" t="s">
        <v>2237</v>
      </c>
      <c r="H799" s="8" t="s">
        <v>2238</v>
      </c>
      <c r="I799" s="14">
        <v>45289</v>
      </c>
    </row>
    <row r="800" spans="1:9" x14ac:dyDescent="0.15">
      <c r="A800" s="5">
        <v>799</v>
      </c>
      <c r="B800" s="6" t="s">
        <v>9</v>
      </c>
      <c r="C800" s="7">
        <v>1882</v>
      </c>
      <c r="D800" s="8">
        <v>45388</v>
      </c>
      <c r="E800" s="9" t="str">
        <f>+HYPERLINK("http://trademark.i-assist.jp/data/china/image_1882th/76120327.pdf","76120327")</f>
        <v>76120327</v>
      </c>
      <c r="F800" s="6" t="s">
        <v>2239</v>
      </c>
      <c r="G800" s="6" t="s">
        <v>2240</v>
      </c>
      <c r="H800" s="8" t="s">
        <v>2241</v>
      </c>
      <c r="I800" s="14">
        <v>45289</v>
      </c>
    </row>
    <row r="801" spans="1:9" x14ac:dyDescent="0.15">
      <c r="A801" s="5">
        <v>800</v>
      </c>
      <c r="B801" s="6" t="s">
        <v>9</v>
      </c>
      <c r="C801" s="7">
        <v>1882</v>
      </c>
      <c r="D801" s="8">
        <v>45388</v>
      </c>
      <c r="E801" s="9" t="str">
        <f>+HYPERLINK("http://trademark.i-assist.jp/data/china/image_1882th/76120335.pdf","76120335")</f>
        <v>76120335</v>
      </c>
      <c r="F801" s="6" t="s">
        <v>2242</v>
      </c>
      <c r="G801" s="6" t="s">
        <v>2243</v>
      </c>
      <c r="H801" s="8" t="s">
        <v>2244</v>
      </c>
      <c r="I801" s="14">
        <v>45289</v>
      </c>
    </row>
    <row r="802" spans="1:9" x14ac:dyDescent="0.15">
      <c r="A802" s="5">
        <v>801</v>
      </c>
      <c r="B802" s="6" t="s">
        <v>9</v>
      </c>
      <c r="C802" s="7">
        <v>1882</v>
      </c>
      <c r="D802" s="8">
        <v>45388</v>
      </c>
      <c r="E802" s="9" t="str">
        <f>+HYPERLINK("http://trademark.i-assist.jp/data/china/image_1882th/76120341.pdf","76120341")</f>
        <v>76120341</v>
      </c>
      <c r="F802" s="6" t="s">
        <v>2245</v>
      </c>
      <c r="G802" s="6" t="s">
        <v>1993</v>
      </c>
      <c r="H802" s="8" t="s">
        <v>2246</v>
      </c>
      <c r="I802" s="14">
        <v>45289</v>
      </c>
    </row>
    <row r="803" spans="1:9" x14ac:dyDescent="0.15">
      <c r="A803" s="5">
        <v>802</v>
      </c>
      <c r="B803" s="6" t="s">
        <v>9</v>
      </c>
      <c r="C803" s="7">
        <v>1882</v>
      </c>
      <c r="D803" s="8">
        <v>45388</v>
      </c>
      <c r="E803" s="9" t="str">
        <f>+HYPERLINK("http://trademark.i-assist.jp/data/china/image_1882th/76120472.pdf","76120472")</f>
        <v>76120472</v>
      </c>
      <c r="F803" s="6" t="s">
        <v>26</v>
      </c>
      <c r="G803" s="6" t="s">
        <v>2247</v>
      </c>
      <c r="H803" s="8" t="s">
        <v>2248</v>
      </c>
      <c r="I803" s="14">
        <v>45289</v>
      </c>
    </row>
    <row r="804" spans="1:9" x14ac:dyDescent="0.15">
      <c r="A804" s="5">
        <v>803</v>
      </c>
      <c r="B804" s="6" t="s">
        <v>9</v>
      </c>
      <c r="C804" s="7">
        <v>1882</v>
      </c>
      <c r="D804" s="8">
        <v>45388</v>
      </c>
      <c r="E804" s="9" t="str">
        <f>+HYPERLINK("http://trademark.i-assist.jp/data/china/image_1882th/76120793.pdf","76120793")</f>
        <v>76120793</v>
      </c>
      <c r="F804" s="6" t="s">
        <v>2249</v>
      </c>
      <c r="G804" s="6" t="s">
        <v>2250</v>
      </c>
      <c r="H804" s="8" t="s">
        <v>2251</v>
      </c>
      <c r="I804" s="14">
        <v>45289</v>
      </c>
    </row>
    <row r="805" spans="1:9" x14ac:dyDescent="0.15">
      <c r="A805" s="5">
        <v>804</v>
      </c>
      <c r="B805" s="6" t="s">
        <v>9</v>
      </c>
      <c r="C805" s="7">
        <v>1882</v>
      </c>
      <c r="D805" s="8">
        <v>45388</v>
      </c>
      <c r="E805" s="9" t="str">
        <f>+HYPERLINK("http://trademark.i-assist.jp/data/china/image_1882th/76120960.pdf","76120960")</f>
        <v>76120960</v>
      </c>
      <c r="F805" s="6" t="s">
        <v>2252</v>
      </c>
      <c r="G805" s="6" t="s">
        <v>2253</v>
      </c>
      <c r="H805" s="8" t="s">
        <v>2254</v>
      </c>
      <c r="I805" s="14">
        <v>45289</v>
      </c>
    </row>
    <row r="806" spans="1:9" x14ac:dyDescent="0.15">
      <c r="A806" s="5">
        <v>805</v>
      </c>
      <c r="B806" s="6" t="s">
        <v>9</v>
      </c>
      <c r="C806" s="7">
        <v>1882</v>
      </c>
      <c r="D806" s="8">
        <v>45388</v>
      </c>
      <c r="E806" s="9" t="str">
        <f>+HYPERLINK("http://trademark.i-assist.jp/data/china/image_1882th/76121029.pdf","76121029")</f>
        <v>76121029</v>
      </c>
      <c r="F806" s="6" t="s">
        <v>2255</v>
      </c>
      <c r="G806" s="6" t="s">
        <v>2256</v>
      </c>
      <c r="H806" s="8" t="s">
        <v>2257</v>
      </c>
      <c r="I806" s="14">
        <v>45289</v>
      </c>
    </row>
    <row r="807" spans="1:9" x14ac:dyDescent="0.15">
      <c r="A807" s="5">
        <v>806</v>
      </c>
      <c r="B807" s="6" t="s">
        <v>9</v>
      </c>
      <c r="C807" s="7">
        <v>1882</v>
      </c>
      <c r="D807" s="8">
        <v>45388</v>
      </c>
      <c r="E807" s="9" t="str">
        <f>+HYPERLINK("http://trademark.i-assist.jp/data/china/image_1882th/76121233.pdf","76121233")</f>
        <v>76121233</v>
      </c>
      <c r="F807" s="6" t="s">
        <v>2258</v>
      </c>
      <c r="G807" s="6" t="s">
        <v>2259</v>
      </c>
      <c r="H807" s="8" t="s">
        <v>2260</v>
      </c>
      <c r="I807" s="14">
        <v>45289</v>
      </c>
    </row>
    <row r="808" spans="1:9" x14ac:dyDescent="0.15">
      <c r="A808" s="5">
        <v>807</v>
      </c>
      <c r="B808" s="6" t="s">
        <v>9</v>
      </c>
      <c r="C808" s="7">
        <v>1882</v>
      </c>
      <c r="D808" s="8">
        <v>45388</v>
      </c>
      <c r="E808" s="9" t="str">
        <f>+HYPERLINK("http://trademark.i-assist.jp/data/china/image_1882th/76121681.pdf","76121681")</f>
        <v>76121681</v>
      </c>
      <c r="F808" s="6" t="s">
        <v>2261</v>
      </c>
      <c r="G808" s="6" t="s">
        <v>2262</v>
      </c>
      <c r="H808" s="8" t="s">
        <v>2263</v>
      </c>
      <c r="I808" s="14">
        <v>45290</v>
      </c>
    </row>
    <row r="809" spans="1:9" x14ac:dyDescent="0.15">
      <c r="A809" s="5">
        <v>808</v>
      </c>
      <c r="B809" s="6" t="s">
        <v>9</v>
      </c>
      <c r="C809" s="7">
        <v>1882</v>
      </c>
      <c r="D809" s="8">
        <v>45388</v>
      </c>
      <c r="E809" s="9" t="str">
        <f>+HYPERLINK("http://trademark.i-assist.jp/data/china/image_1882th/76121868.pdf","76121868")</f>
        <v>76121868</v>
      </c>
      <c r="F809" s="6" t="s">
        <v>2264</v>
      </c>
      <c r="G809" s="6" t="s">
        <v>2265</v>
      </c>
      <c r="H809" s="8" t="s">
        <v>2266</v>
      </c>
      <c r="I809" s="14">
        <v>45290</v>
      </c>
    </row>
    <row r="810" spans="1:9" x14ac:dyDescent="0.15">
      <c r="A810" s="5">
        <v>809</v>
      </c>
      <c r="B810" s="6" t="s">
        <v>9</v>
      </c>
      <c r="C810" s="7">
        <v>1882</v>
      </c>
      <c r="D810" s="8">
        <v>45388</v>
      </c>
      <c r="E810" s="9" t="str">
        <f>+HYPERLINK("http://trademark.i-assist.jp/data/china/image_1882th/76122333.pdf","76122333")</f>
        <v>76122333</v>
      </c>
      <c r="F810" s="6" t="s">
        <v>2267</v>
      </c>
      <c r="G810" s="6" t="s">
        <v>2268</v>
      </c>
      <c r="H810" s="8" t="s">
        <v>2269</v>
      </c>
      <c r="I810" s="14">
        <v>45290</v>
      </c>
    </row>
    <row r="811" spans="1:9" x14ac:dyDescent="0.15">
      <c r="A811" s="5">
        <v>810</v>
      </c>
      <c r="B811" s="6" t="s">
        <v>9</v>
      </c>
      <c r="C811" s="7">
        <v>1882</v>
      </c>
      <c r="D811" s="8">
        <v>45388</v>
      </c>
      <c r="E811" s="9" t="str">
        <f>+HYPERLINK("http://trademark.i-assist.jp/data/china/image_1882th/76122940.pdf","76122940")</f>
        <v>76122940</v>
      </c>
      <c r="F811" s="6" t="s">
        <v>2270</v>
      </c>
      <c r="G811" s="6" t="s">
        <v>2271</v>
      </c>
      <c r="H811" s="8" t="s">
        <v>2272</v>
      </c>
      <c r="I811" s="14">
        <v>45290</v>
      </c>
    </row>
    <row r="812" spans="1:9" x14ac:dyDescent="0.15">
      <c r="A812" s="5">
        <v>811</v>
      </c>
      <c r="B812" s="6" t="s">
        <v>9</v>
      </c>
      <c r="C812" s="7">
        <v>1882</v>
      </c>
      <c r="D812" s="8">
        <v>45388</v>
      </c>
      <c r="E812" s="9" t="str">
        <f>+HYPERLINK("http://trademark.i-assist.jp/data/china/image_1882th/76123230.pdf","76123230")</f>
        <v>76123230</v>
      </c>
      <c r="F812" s="6" t="s">
        <v>2273</v>
      </c>
      <c r="G812" s="6" t="s">
        <v>2274</v>
      </c>
      <c r="H812" s="8" t="s">
        <v>2275</v>
      </c>
      <c r="I812" s="14">
        <v>45290</v>
      </c>
    </row>
    <row r="813" spans="1:9" x14ac:dyDescent="0.15">
      <c r="A813" s="5">
        <v>812</v>
      </c>
      <c r="B813" s="6" t="s">
        <v>9</v>
      </c>
      <c r="C813" s="7">
        <v>1882</v>
      </c>
      <c r="D813" s="8">
        <v>45388</v>
      </c>
      <c r="E813" s="9" t="str">
        <f>+HYPERLINK("http://trademark.i-assist.jp/data/china/image_1882th/76123340.pdf","76123340")</f>
        <v>76123340</v>
      </c>
      <c r="F813" s="6" t="s">
        <v>2276</v>
      </c>
      <c r="G813" s="6" t="s">
        <v>2277</v>
      </c>
      <c r="H813" s="8" t="s">
        <v>2278</v>
      </c>
      <c r="I813" s="14">
        <v>45290</v>
      </c>
    </row>
    <row r="814" spans="1:9" x14ac:dyDescent="0.15">
      <c r="A814" s="5">
        <v>813</v>
      </c>
      <c r="B814" s="6" t="s">
        <v>9</v>
      </c>
      <c r="C814" s="7">
        <v>1882</v>
      </c>
      <c r="D814" s="8">
        <v>45388</v>
      </c>
      <c r="E814" s="9" t="str">
        <f>+HYPERLINK("http://trademark.i-assist.jp/data/china/image_1882th/76123450.pdf","76123450")</f>
        <v>76123450</v>
      </c>
      <c r="F814" s="6" t="s">
        <v>2279</v>
      </c>
      <c r="G814" s="6" t="s">
        <v>2280</v>
      </c>
      <c r="H814" s="8" t="s">
        <v>2281</v>
      </c>
      <c r="I814" s="14">
        <v>45290</v>
      </c>
    </row>
    <row r="815" spans="1:9" x14ac:dyDescent="0.15">
      <c r="A815" s="5">
        <v>814</v>
      </c>
      <c r="B815" s="6" t="s">
        <v>9</v>
      </c>
      <c r="C815" s="7">
        <v>1882</v>
      </c>
      <c r="D815" s="8">
        <v>45388</v>
      </c>
      <c r="E815" s="9" t="str">
        <f>+HYPERLINK("http://trademark.i-assist.jp/data/china/image_1882th/76123501.pdf","76123501")</f>
        <v>76123501</v>
      </c>
      <c r="F815" s="6" t="s">
        <v>2282</v>
      </c>
      <c r="G815" s="6" t="s">
        <v>2265</v>
      </c>
      <c r="H815" s="8" t="s">
        <v>2283</v>
      </c>
      <c r="I815" s="14">
        <v>45290</v>
      </c>
    </row>
    <row r="816" spans="1:9" x14ac:dyDescent="0.15">
      <c r="A816" s="5">
        <v>815</v>
      </c>
      <c r="B816" s="6" t="s">
        <v>9</v>
      </c>
      <c r="C816" s="7">
        <v>1882</v>
      </c>
      <c r="D816" s="8">
        <v>45388</v>
      </c>
      <c r="E816" s="9" t="str">
        <f>+HYPERLINK("http://trademark.i-assist.jp/data/china/image_1882th/76123514.pdf","76123514")</f>
        <v>76123514</v>
      </c>
      <c r="F816" s="6" t="s">
        <v>2284</v>
      </c>
      <c r="G816" s="6" t="s">
        <v>2285</v>
      </c>
      <c r="H816" s="8" t="s">
        <v>2286</v>
      </c>
      <c r="I816" s="14">
        <v>45290</v>
      </c>
    </row>
    <row r="817" spans="1:9" x14ac:dyDescent="0.15">
      <c r="A817" s="5">
        <v>816</v>
      </c>
      <c r="B817" s="6" t="s">
        <v>9</v>
      </c>
      <c r="C817" s="7">
        <v>1882</v>
      </c>
      <c r="D817" s="8">
        <v>45388</v>
      </c>
      <c r="E817" s="9" t="str">
        <f>+HYPERLINK("http://trademark.i-assist.jp/data/china/image_1882th/76123698.pdf","76123698")</f>
        <v>76123698</v>
      </c>
      <c r="F817" s="6" t="s">
        <v>2287</v>
      </c>
      <c r="G817" s="6" t="s">
        <v>2288</v>
      </c>
      <c r="H817" s="8" t="s">
        <v>2289</v>
      </c>
      <c r="I817" s="14">
        <v>45290</v>
      </c>
    </row>
    <row r="818" spans="1:9" x14ac:dyDescent="0.15">
      <c r="A818" s="5">
        <v>817</v>
      </c>
      <c r="B818" s="6" t="s">
        <v>9</v>
      </c>
      <c r="C818" s="7">
        <v>1882</v>
      </c>
      <c r="D818" s="8">
        <v>45388</v>
      </c>
      <c r="E818" s="9" t="str">
        <f>+HYPERLINK("http://trademark.i-assist.jp/data/china/image_1882th/76123734.pdf","76123734")</f>
        <v>76123734</v>
      </c>
      <c r="F818" s="6" t="s">
        <v>2290</v>
      </c>
      <c r="G818" s="6" t="s">
        <v>2291</v>
      </c>
      <c r="H818" s="8" t="s">
        <v>2292</v>
      </c>
      <c r="I818" s="14">
        <v>45290</v>
      </c>
    </row>
    <row r="819" spans="1:9" x14ac:dyDescent="0.15">
      <c r="A819" s="5">
        <v>818</v>
      </c>
      <c r="B819" s="6" t="s">
        <v>9</v>
      </c>
      <c r="C819" s="7">
        <v>1882</v>
      </c>
      <c r="D819" s="8">
        <v>45388</v>
      </c>
      <c r="E819" s="9" t="str">
        <f>+HYPERLINK("http://trademark.i-assist.jp/data/china/image_1882th/76123859.pdf","76123859")</f>
        <v>76123859</v>
      </c>
      <c r="F819" s="6" t="s">
        <v>2293</v>
      </c>
      <c r="G819" s="6" t="s">
        <v>2294</v>
      </c>
      <c r="H819" s="8" t="s">
        <v>2295</v>
      </c>
      <c r="I819" s="14">
        <v>45290</v>
      </c>
    </row>
    <row r="820" spans="1:9" x14ac:dyDescent="0.15">
      <c r="A820" s="5">
        <v>819</v>
      </c>
      <c r="B820" s="6" t="s">
        <v>9</v>
      </c>
      <c r="C820" s="7">
        <v>1882</v>
      </c>
      <c r="D820" s="8">
        <v>45388</v>
      </c>
      <c r="E820" s="9" t="str">
        <f>+HYPERLINK("http://trademark.i-assist.jp/data/china/image_1882th/76124420.pdf","76124420")</f>
        <v>76124420</v>
      </c>
      <c r="F820" s="6" t="s">
        <v>2296</v>
      </c>
      <c r="G820" s="6" t="s">
        <v>2297</v>
      </c>
      <c r="H820" s="8" t="s">
        <v>2298</v>
      </c>
      <c r="I820" s="14">
        <v>45290</v>
      </c>
    </row>
    <row r="821" spans="1:9" x14ac:dyDescent="0.15">
      <c r="A821" s="5">
        <v>820</v>
      </c>
      <c r="B821" s="6" t="s">
        <v>9</v>
      </c>
      <c r="C821" s="7">
        <v>1882</v>
      </c>
      <c r="D821" s="8">
        <v>45388</v>
      </c>
      <c r="E821" s="9" t="str">
        <f>+HYPERLINK("http://trademark.i-assist.jp/data/china/image_1882th/76124504.pdf","76124504")</f>
        <v>76124504</v>
      </c>
      <c r="F821" s="6" t="s">
        <v>2299</v>
      </c>
      <c r="G821" s="6" t="s">
        <v>2265</v>
      </c>
      <c r="H821" s="8" t="s">
        <v>2300</v>
      </c>
      <c r="I821" s="14">
        <v>45290</v>
      </c>
    </row>
    <row r="822" spans="1:9" x14ac:dyDescent="0.15">
      <c r="A822" s="5">
        <v>821</v>
      </c>
      <c r="B822" s="6" t="s">
        <v>9</v>
      </c>
      <c r="C822" s="7">
        <v>1882</v>
      </c>
      <c r="D822" s="8">
        <v>45388</v>
      </c>
      <c r="E822" s="9" t="str">
        <f>+HYPERLINK("http://trademark.i-assist.jp/data/china/image_1882th/76124603.pdf","76124603")</f>
        <v>76124603</v>
      </c>
      <c r="F822" s="6" t="s">
        <v>2301</v>
      </c>
      <c r="G822" s="6" t="s">
        <v>2265</v>
      </c>
      <c r="H822" s="8" t="s">
        <v>2302</v>
      </c>
      <c r="I822" s="14">
        <v>45290</v>
      </c>
    </row>
    <row r="823" spans="1:9" x14ac:dyDescent="0.15">
      <c r="A823" s="5">
        <v>822</v>
      </c>
      <c r="B823" s="6" t="s">
        <v>9</v>
      </c>
      <c r="C823" s="7">
        <v>1882</v>
      </c>
      <c r="D823" s="8">
        <v>45388</v>
      </c>
      <c r="E823" s="9" t="str">
        <f>+HYPERLINK("http://trademark.i-assist.jp/data/china/image_1882th/76124618.pdf","76124618")</f>
        <v>76124618</v>
      </c>
      <c r="F823" s="6" t="s">
        <v>2303</v>
      </c>
      <c r="G823" s="6" t="s">
        <v>2265</v>
      </c>
      <c r="H823" s="8" t="s">
        <v>2304</v>
      </c>
      <c r="I823" s="14">
        <v>45290</v>
      </c>
    </row>
    <row r="824" spans="1:9" x14ac:dyDescent="0.15">
      <c r="A824" s="5">
        <v>823</v>
      </c>
      <c r="B824" s="6" t="s">
        <v>9</v>
      </c>
      <c r="C824" s="7">
        <v>1882</v>
      </c>
      <c r="D824" s="8">
        <v>45388</v>
      </c>
      <c r="E824" s="9" t="str">
        <f>+HYPERLINK("http://trademark.i-assist.jp/data/china/image_1882th/76124728.pdf","76124728")</f>
        <v>76124728</v>
      </c>
      <c r="F824" s="6" t="s">
        <v>2305</v>
      </c>
      <c r="G824" s="6" t="s">
        <v>2306</v>
      </c>
      <c r="H824" s="8" t="s">
        <v>2307</v>
      </c>
      <c r="I824" s="14">
        <v>45290</v>
      </c>
    </row>
    <row r="825" spans="1:9" x14ac:dyDescent="0.15">
      <c r="A825" s="5">
        <v>824</v>
      </c>
      <c r="B825" s="6" t="s">
        <v>9</v>
      </c>
      <c r="C825" s="7">
        <v>1882</v>
      </c>
      <c r="D825" s="8">
        <v>45388</v>
      </c>
      <c r="E825" s="9" t="str">
        <f>+HYPERLINK("http://trademark.i-assist.jp/data/china/image_1882th/76124846.pdf","76124846")</f>
        <v>76124846</v>
      </c>
      <c r="F825" s="6" t="s">
        <v>2308</v>
      </c>
      <c r="G825" s="6" t="s">
        <v>2309</v>
      </c>
      <c r="H825" s="8" t="s">
        <v>2310</v>
      </c>
      <c r="I825" s="14">
        <v>45290</v>
      </c>
    </row>
    <row r="826" spans="1:9" x14ac:dyDescent="0.15">
      <c r="A826" s="5">
        <v>825</v>
      </c>
      <c r="B826" s="6" t="s">
        <v>9</v>
      </c>
      <c r="C826" s="7">
        <v>1882</v>
      </c>
      <c r="D826" s="8">
        <v>45388</v>
      </c>
      <c r="E826" s="9" t="str">
        <f>+HYPERLINK("http://trademark.i-assist.jp/data/china/image_1882th/76124854.pdf","76124854")</f>
        <v>76124854</v>
      </c>
      <c r="F826" s="6" t="s">
        <v>26</v>
      </c>
      <c r="G826" s="6" t="s">
        <v>2311</v>
      </c>
      <c r="H826" s="8" t="s">
        <v>2312</v>
      </c>
      <c r="I826" s="14">
        <v>45290</v>
      </c>
    </row>
    <row r="827" spans="1:9" x14ac:dyDescent="0.15">
      <c r="A827" s="5">
        <v>826</v>
      </c>
      <c r="B827" s="6" t="s">
        <v>9</v>
      </c>
      <c r="C827" s="7">
        <v>1882</v>
      </c>
      <c r="D827" s="8">
        <v>45388</v>
      </c>
      <c r="E827" s="9" t="str">
        <f>+HYPERLINK("http://trademark.i-assist.jp/data/china/image_1882th/76125127.pdf","76125127")</f>
        <v>76125127</v>
      </c>
      <c r="F827" s="6" t="s">
        <v>2313</v>
      </c>
      <c r="G827" s="6" t="s">
        <v>2314</v>
      </c>
      <c r="H827" s="8" t="s">
        <v>2315</v>
      </c>
      <c r="I827" s="14">
        <v>45290</v>
      </c>
    </row>
    <row r="828" spans="1:9" x14ac:dyDescent="0.15">
      <c r="A828" s="5">
        <v>827</v>
      </c>
      <c r="B828" s="6" t="s">
        <v>9</v>
      </c>
      <c r="C828" s="7">
        <v>1882</v>
      </c>
      <c r="D828" s="8">
        <v>45388</v>
      </c>
      <c r="E828" s="9" t="str">
        <f>+HYPERLINK("http://trademark.i-assist.jp/data/china/image_1882th/76125158.pdf","76125158")</f>
        <v>76125158</v>
      </c>
      <c r="F828" s="6" t="s">
        <v>2316</v>
      </c>
      <c r="G828" s="6" t="s">
        <v>2317</v>
      </c>
      <c r="H828" s="8" t="s">
        <v>2318</v>
      </c>
      <c r="I828" s="14">
        <v>45290</v>
      </c>
    </row>
    <row r="829" spans="1:9" x14ac:dyDescent="0.15">
      <c r="A829" s="5">
        <v>828</v>
      </c>
      <c r="B829" s="6" t="s">
        <v>9</v>
      </c>
      <c r="C829" s="7">
        <v>1882</v>
      </c>
      <c r="D829" s="8">
        <v>45388</v>
      </c>
      <c r="E829" s="9" t="str">
        <f>+HYPERLINK("http://trademark.i-assist.jp/data/china/image_1882th/76125173.pdf","76125173")</f>
        <v>76125173</v>
      </c>
      <c r="F829" s="6" t="s">
        <v>2319</v>
      </c>
      <c r="G829" s="6" t="s">
        <v>2320</v>
      </c>
      <c r="H829" s="8" t="s">
        <v>2321</v>
      </c>
      <c r="I829" s="14">
        <v>45290</v>
      </c>
    </row>
    <row r="830" spans="1:9" x14ac:dyDescent="0.15">
      <c r="A830" s="5">
        <v>829</v>
      </c>
      <c r="B830" s="6" t="s">
        <v>9</v>
      </c>
      <c r="C830" s="7">
        <v>1882</v>
      </c>
      <c r="D830" s="8">
        <v>45388</v>
      </c>
      <c r="E830" s="9" t="str">
        <f>+HYPERLINK("http://trademark.i-assist.jp/data/china/image_1882th/76125345.pdf","76125345")</f>
        <v>76125345</v>
      </c>
      <c r="F830" s="6" t="s">
        <v>2322</v>
      </c>
      <c r="G830" s="6" t="s">
        <v>2265</v>
      </c>
      <c r="H830" s="8" t="s">
        <v>2323</v>
      </c>
      <c r="I830" s="14">
        <v>45290</v>
      </c>
    </row>
    <row r="831" spans="1:9" x14ac:dyDescent="0.15">
      <c r="A831" s="5">
        <v>830</v>
      </c>
      <c r="B831" s="6" t="s">
        <v>9</v>
      </c>
      <c r="C831" s="7">
        <v>1882</v>
      </c>
      <c r="D831" s="8">
        <v>45388</v>
      </c>
      <c r="E831" s="9" t="str">
        <f>+HYPERLINK("http://trademark.i-assist.jp/data/china/image_1882th/76125349.pdf","76125349")</f>
        <v>76125349</v>
      </c>
      <c r="F831" s="6" t="s">
        <v>2324</v>
      </c>
      <c r="G831" s="6" t="s">
        <v>2265</v>
      </c>
      <c r="H831" s="8" t="s">
        <v>2325</v>
      </c>
      <c r="I831" s="14">
        <v>45290</v>
      </c>
    </row>
    <row r="832" spans="1:9" x14ac:dyDescent="0.15">
      <c r="A832" s="5">
        <v>831</v>
      </c>
      <c r="B832" s="6" t="s">
        <v>9</v>
      </c>
      <c r="C832" s="7">
        <v>1882</v>
      </c>
      <c r="D832" s="8">
        <v>45388</v>
      </c>
      <c r="E832" s="9" t="str">
        <f>+HYPERLINK("http://trademark.i-assist.jp/data/china/image_1882th/76125563.pdf","76125563")</f>
        <v>76125563</v>
      </c>
      <c r="F832" s="6" t="s">
        <v>2326</v>
      </c>
      <c r="G832" s="6" t="s">
        <v>2291</v>
      </c>
      <c r="H832" s="8" t="s">
        <v>2327</v>
      </c>
      <c r="I832" s="14">
        <v>45290</v>
      </c>
    </row>
    <row r="833" spans="1:9" x14ac:dyDescent="0.15">
      <c r="A833" s="5">
        <v>832</v>
      </c>
      <c r="B833" s="6" t="s">
        <v>9</v>
      </c>
      <c r="C833" s="7">
        <v>1882</v>
      </c>
      <c r="D833" s="8">
        <v>45388</v>
      </c>
      <c r="E833" s="9" t="str">
        <f>+HYPERLINK("http://trademark.i-assist.jp/data/china/image_1882th/76125893.pdf","76125893")</f>
        <v>76125893</v>
      </c>
      <c r="F833" s="6" t="s">
        <v>2328</v>
      </c>
      <c r="G833" s="6" t="s">
        <v>2329</v>
      </c>
      <c r="H833" s="8" t="s">
        <v>2330</v>
      </c>
      <c r="I833" s="14">
        <v>45290</v>
      </c>
    </row>
    <row r="834" spans="1:9" x14ac:dyDescent="0.15">
      <c r="A834" s="5">
        <v>833</v>
      </c>
      <c r="B834" s="6" t="s">
        <v>9</v>
      </c>
      <c r="C834" s="7">
        <v>1882</v>
      </c>
      <c r="D834" s="8">
        <v>45388</v>
      </c>
      <c r="E834" s="9" t="str">
        <f>+HYPERLINK("http://trademark.i-assist.jp/data/china/image_1882th/76126014.pdf","76126014")</f>
        <v>76126014</v>
      </c>
      <c r="F834" s="6" t="s">
        <v>2331</v>
      </c>
      <c r="G834" s="6" t="s">
        <v>2265</v>
      </c>
      <c r="H834" s="8" t="s">
        <v>2332</v>
      </c>
      <c r="I834" s="14">
        <v>45290</v>
      </c>
    </row>
    <row r="835" spans="1:9" x14ac:dyDescent="0.15">
      <c r="A835" s="5">
        <v>834</v>
      </c>
      <c r="B835" s="6" t="s">
        <v>9</v>
      </c>
      <c r="C835" s="7">
        <v>1882</v>
      </c>
      <c r="D835" s="8">
        <v>45388</v>
      </c>
      <c r="E835" s="9" t="str">
        <f>+HYPERLINK("http://trademark.i-assist.jp/data/china/image_1882th/76126058.pdf","76126058")</f>
        <v>76126058</v>
      </c>
      <c r="F835" s="6" t="s">
        <v>2333</v>
      </c>
      <c r="G835" s="6" t="s">
        <v>2334</v>
      </c>
      <c r="H835" s="8" t="s">
        <v>2335</v>
      </c>
      <c r="I835" s="14">
        <v>45290</v>
      </c>
    </row>
    <row r="836" spans="1:9" x14ac:dyDescent="0.15">
      <c r="A836" s="5">
        <v>835</v>
      </c>
      <c r="B836" s="6" t="s">
        <v>9</v>
      </c>
      <c r="C836" s="7">
        <v>1882</v>
      </c>
      <c r="D836" s="8">
        <v>45388</v>
      </c>
      <c r="E836" s="9" t="str">
        <f>+HYPERLINK("http://trademark.i-assist.jp/data/china/image_1882th/76126089.pdf","76126089")</f>
        <v>76126089</v>
      </c>
      <c r="F836" s="6" t="s">
        <v>2336</v>
      </c>
      <c r="G836" s="6" t="s">
        <v>2265</v>
      </c>
      <c r="H836" s="8" t="s">
        <v>2337</v>
      </c>
      <c r="I836" s="14">
        <v>45290</v>
      </c>
    </row>
    <row r="837" spans="1:9" x14ac:dyDescent="0.15">
      <c r="A837" s="5">
        <v>836</v>
      </c>
      <c r="B837" s="6" t="s">
        <v>9</v>
      </c>
      <c r="C837" s="7">
        <v>1882</v>
      </c>
      <c r="D837" s="8">
        <v>45388</v>
      </c>
      <c r="E837" s="9" t="str">
        <f>+HYPERLINK("http://trademark.i-assist.jp/data/china/image_1882th/76126177.pdf","76126177")</f>
        <v>76126177</v>
      </c>
      <c r="F837" s="6" t="s">
        <v>2338</v>
      </c>
      <c r="G837" s="6" t="s">
        <v>2339</v>
      </c>
      <c r="H837" s="8" t="s">
        <v>2340</v>
      </c>
      <c r="I837" s="14">
        <v>45290</v>
      </c>
    </row>
    <row r="838" spans="1:9" x14ac:dyDescent="0.15">
      <c r="A838" s="5">
        <v>837</v>
      </c>
      <c r="B838" s="6" t="s">
        <v>9</v>
      </c>
      <c r="C838" s="7">
        <v>1882</v>
      </c>
      <c r="D838" s="8">
        <v>45388</v>
      </c>
      <c r="E838" s="9" t="str">
        <f>+HYPERLINK("http://trademark.i-assist.jp/data/china/image_1882th/76126299.pdf","76126299")</f>
        <v>76126299</v>
      </c>
      <c r="F838" s="6" t="s">
        <v>26</v>
      </c>
      <c r="G838" s="6" t="s">
        <v>2341</v>
      </c>
      <c r="H838" s="8" t="s">
        <v>2342</v>
      </c>
      <c r="I838" s="14">
        <v>45290</v>
      </c>
    </row>
    <row r="839" spans="1:9" x14ac:dyDescent="0.15">
      <c r="A839" s="5">
        <v>838</v>
      </c>
      <c r="B839" s="6" t="s">
        <v>9</v>
      </c>
      <c r="C839" s="7">
        <v>1882</v>
      </c>
      <c r="D839" s="8">
        <v>45388</v>
      </c>
      <c r="E839" s="9" t="str">
        <f>+HYPERLINK("http://trademark.i-assist.jp/data/china/image_1882th/76126304.pdf","76126304")</f>
        <v>76126304</v>
      </c>
      <c r="F839" s="6" t="s">
        <v>2343</v>
      </c>
      <c r="G839" s="6" t="s">
        <v>2262</v>
      </c>
      <c r="H839" s="8" t="s">
        <v>2344</v>
      </c>
      <c r="I839" s="14">
        <v>45290</v>
      </c>
    </row>
    <row r="840" spans="1:9" x14ac:dyDescent="0.15">
      <c r="A840" s="5">
        <v>839</v>
      </c>
      <c r="B840" s="6" t="s">
        <v>9</v>
      </c>
      <c r="C840" s="7">
        <v>1882</v>
      </c>
      <c r="D840" s="8">
        <v>45388</v>
      </c>
      <c r="E840" s="9" t="str">
        <f>+HYPERLINK("http://trademark.i-assist.jp/data/china/image_1882th/76126507.pdf","76126507")</f>
        <v>76126507</v>
      </c>
      <c r="F840" s="6" t="s">
        <v>2345</v>
      </c>
      <c r="G840" s="6" t="s">
        <v>2346</v>
      </c>
      <c r="H840" s="8" t="s">
        <v>2347</v>
      </c>
      <c r="I840" s="14">
        <v>45291</v>
      </c>
    </row>
    <row r="841" spans="1:9" x14ac:dyDescent="0.15">
      <c r="A841" s="5">
        <v>840</v>
      </c>
      <c r="B841" s="6" t="s">
        <v>9</v>
      </c>
      <c r="C841" s="7">
        <v>1882</v>
      </c>
      <c r="D841" s="8">
        <v>45388</v>
      </c>
      <c r="E841" s="9" t="str">
        <f>+HYPERLINK("http://trademark.i-assist.jp/data/china/image_1882th/76126581.pdf","76126581")</f>
        <v>76126581</v>
      </c>
      <c r="F841" s="6" t="s">
        <v>2348</v>
      </c>
      <c r="G841" s="6" t="s">
        <v>2349</v>
      </c>
      <c r="H841" s="8" t="s">
        <v>2350</v>
      </c>
      <c r="I841" s="14">
        <v>45291</v>
      </c>
    </row>
    <row r="842" spans="1:9" x14ac:dyDescent="0.15">
      <c r="A842" s="5">
        <v>841</v>
      </c>
      <c r="B842" s="6" t="s">
        <v>9</v>
      </c>
      <c r="C842" s="7">
        <v>1882</v>
      </c>
      <c r="D842" s="8">
        <v>45388</v>
      </c>
      <c r="E842" s="9" t="str">
        <f>+HYPERLINK("http://trademark.i-assist.jp/data/china/image_1882th/76126598.pdf","76126598")</f>
        <v>76126598</v>
      </c>
      <c r="F842" s="6" t="s">
        <v>2351</v>
      </c>
      <c r="G842" s="6" t="s">
        <v>2352</v>
      </c>
      <c r="H842" s="8" t="s">
        <v>2353</v>
      </c>
      <c r="I842" s="14">
        <v>45291</v>
      </c>
    </row>
    <row r="843" spans="1:9" x14ac:dyDescent="0.15">
      <c r="A843" s="5">
        <v>842</v>
      </c>
      <c r="B843" s="6" t="s">
        <v>9</v>
      </c>
      <c r="C843" s="7">
        <v>1882</v>
      </c>
      <c r="D843" s="8">
        <v>45388</v>
      </c>
      <c r="E843" s="9" t="str">
        <f>+HYPERLINK("http://trademark.i-assist.jp/data/china/image_1882th/76126631.pdf","76126631")</f>
        <v>76126631</v>
      </c>
      <c r="F843" s="6" t="s">
        <v>2354</v>
      </c>
      <c r="G843" s="6" t="s">
        <v>2355</v>
      </c>
      <c r="H843" s="8" t="s">
        <v>2356</v>
      </c>
      <c r="I843" s="14">
        <v>45291</v>
      </c>
    </row>
    <row r="844" spans="1:9" x14ac:dyDescent="0.15">
      <c r="A844" s="5">
        <v>843</v>
      </c>
      <c r="B844" s="6" t="s">
        <v>9</v>
      </c>
      <c r="C844" s="7">
        <v>1882</v>
      </c>
      <c r="D844" s="8">
        <v>45388</v>
      </c>
      <c r="E844" s="9" t="str">
        <f>+HYPERLINK("http://trademark.i-assist.jp/data/china/image_1882th/76126655.pdf","76126655")</f>
        <v>76126655</v>
      </c>
      <c r="F844" s="6" t="s">
        <v>2357</v>
      </c>
      <c r="G844" s="6" t="s">
        <v>2358</v>
      </c>
      <c r="H844" s="8" t="s">
        <v>2359</v>
      </c>
      <c r="I844" s="14">
        <v>45291</v>
      </c>
    </row>
    <row r="845" spans="1:9" x14ac:dyDescent="0.15">
      <c r="A845" s="5">
        <v>844</v>
      </c>
      <c r="B845" s="6" t="s">
        <v>9</v>
      </c>
      <c r="C845" s="7">
        <v>1882</v>
      </c>
      <c r="D845" s="8">
        <v>45388</v>
      </c>
      <c r="E845" s="9" t="str">
        <f>+HYPERLINK("http://trademark.i-assist.jp/data/china/image_1882th/76126732.pdf","76126732")</f>
        <v>76126732</v>
      </c>
      <c r="F845" s="6" t="s">
        <v>2360</v>
      </c>
      <c r="G845" s="6" t="s">
        <v>2361</v>
      </c>
      <c r="H845" s="8" t="s">
        <v>2362</v>
      </c>
      <c r="I845" s="14">
        <v>45291</v>
      </c>
    </row>
    <row r="846" spans="1:9" x14ac:dyDescent="0.15">
      <c r="A846" s="5">
        <v>845</v>
      </c>
      <c r="B846" s="6" t="s">
        <v>9</v>
      </c>
      <c r="C846" s="7">
        <v>1882</v>
      </c>
      <c r="D846" s="8">
        <v>45388</v>
      </c>
      <c r="E846" s="9" t="str">
        <f>+HYPERLINK("http://trademark.i-assist.jp/data/china/image_1882th/76126856.pdf","76126856")</f>
        <v>76126856</v>
      </c>
      <c r="F846" s="6" t="s">
        <v>2363</v>
      </c>
      <c r="G846" s="6" t="s">
        <v>2364</v>
      </c>
      <c r="H846" s="8" t="s">
        <v>2365</v>
      </c>
      <c r="I846" s="14">
        <v>45291</v>
      </c>
    </row>
    <row r="847" spans="1:9" x14ac:dyDescent="0.15">
      <c r="A847" s="5">
        <v>846</v>
      </c>
      <c r="B847" s="6" t="s">
        <v>9</v>
      </c>
      <c r="C847" s="7">
        <v>1882</v>
      </c>
      <c r="D847" s="8">
        <v>45388</v>
      </c>
      <c r="E847" s="9" t="str">
        <f>+HYPERLINK("http://trademark.i-assist.jp/data/china/image_1882th/76126870.pdf","76126870")</f>
        <v>76126870</v>
      </c>
      <c r="F847" s="6" t="s">
        <v>2366</v>
      </c>
      <c r="G847" s="6" t="s">
        <v>2367</v>
      </c>
      <c r="H847" s="8" t="s">
        <v>2368</v>
      </c>
      <c r="I847" s="14">
        <v>45291</v>
      </c>
    </row>
    <row r="848" spans="1:9" x14ac:dyDescent="0.15">
      <c r="A848" s="5">
        <v>847</v>
      </c>
      <c r="B848" s="6" t="s">
        <v>9</v>
      </c>
      <c r="C848" s="7">
        <v>1882</v>
      </c>
      <c r="D848" s="8">
        <v>45388</v>
      </c>
      <c r="E848" s="9" t="str">
        <f>+HYPERLINK("http://trademark.i-assist.jp/data/china/image_1882th/76126920.pdf","76126920")</f>
        <v>76126920</v>
      </c>
      <c r="F848" s="6" t="s">
        <v>2369</v>
      </c>
      <c r="G848" s="6" t="s">
        <v>2370</v>
      </c>
      <c r="H848" s="8" t="s">
        <v>2371</v>
      </c>
      <c r="I848" s="14">
        <v>45291</v>
      </c>
    </row>
    <row r="849" spans="1:9" x14ac:dyDescent="0.15">
      <c r="A849" s="5">
        <v>848</v>
      </c>
      <c r="B849" s="6" t="s">
        <v>9</v>
      </c>
      <c r="C849" s="7">
        <v>1882</v>
      </c>
      <c r="D849" s="8">
        <v>45388</v>
      </c>
      <c r="E849" s="9" t="str">
        <f>+HYPERLINK("http://trademark.i-assist.jp/data/china/image_1882th/76127065.pdf","76127065")</f>
        <v>76127065</v>
      </c>
      <c r="F849" s="6" t="s">
        <v>2372</v>
      </c>
      <c r="G849" s="6" t="s">
        <v>2373</v>
      </c>
      <c r="H849" s="8" t="s">
        <v>2374</v>
      </c>
      <c r="I849" s="14">
        <v>45291</v>
      </c>
    </row>
    <row r="850" spans="1:9" x14ac:dyDescent="0.15">
      <c r="A850" s="5">
        <v>849</v>
      </c>
      <c r="B850" s="6" t="s">
        <v>9</v>
      </c>
      <c r="C850" s="7">
        <v>1882</v>
      </c>
      <c r="D850" s="8">
        <v>45388</v>
      </c>
      <c r="E850" s="9" t="str">
        <f>+HYPERLINK("http://trademark.i-assist.jp/data/china/image_1882th/76127230.pdf","76127230")</f>
        <v>76127230</v>
      </c>
      <c r="F850" s="6" t="s">
        <v>2375</v>
      </c>
      <c r="G850" s="6" t="s">
        <v>2376</v>
      </c>
      <c r="H850" s="8" t="s">
        <v>2377</v>
      </c>
      <c r="I850" s="14">
        <v>45291</v>
      </c>
    </row>
    <row r="851" spans="1:9" x14ac:dyDescent="0.15">
      <c r="A851" s="5">
        <v>850</v>
      </c>
      <c r="B851" s="6" t="s">
        <v>9</v>
      </c>
      <c r="C851" s="7">
        <v>1882</v>
      </c>
      <c r="D851" s="8">
        <v>45388</v>
      </c>
      <c r="E851" s="9" t="str">
        <f>+HYPERLINK("http://trademark.i-assist.jp/data/china/image_1882th/76127309.pdf","76127309")</f>
        <v>76127309</v>
      </c>
      <c r="F851" s="6" t="s">
        <v>2378</v>
      </c>
      <c r="G851" s="6" t="s">
        <v>2379</v>
      </c>
      <c r="H851" s="8" t="s">
        <v>2380</v>
      </c>
      <c r="I851" s="14">
        <v>45291</v>
      </c>
    </row>
    <row r="852" spans="1:9" x14ac:dyDescent="0.15">
      <c r="A852" s="5">
        <v>851</v>
      </c>
      <c r="B852" s="6" t="s">
        <v>9</v>
      </c>
      <c r="C852" s="7">
        <v>1882</v>
      </c>
      <c r="D852" s="8">
        <v>45388</v>
      </c>
      <c r="E852" s="9" t="str">
        <f>+HYPERLINK("http://trademark.i-assist.jp/data/china/image_1882th/76127323.pdf","76127323")</f>
        <v>76127323</v>
      </c>
      <c r="F852" s="6" t="s">
        <v>2381</v>
      </c>
      <c r="G852" s="6" t="s">
        <v>2382</v>
      </c>
      <c r="H852" s="8" t="s">
        <v>2383</v>
      </c>
      <c r="I852" s="14">
        <v>45291</v>
      </c>
    </row>
    <row r="853" spans="1:9" x14ac:dyDescent="0.15">
      <c r="A853" s="5">
        <v>852</v>
      </c>
      <c r="B853" s="6" t="s">
        <v>9</v>
      </c>
      <c r="C853" s="7">
        <v>1882</v>
      </c>
      <c r="D853" s="8">
        <v>45388</v>
      </c>
      <c r="E853" s="9" t="str">
        <f>+HYPERLINK("http://trademark.i-assist.jp/data/china/image_1882th/76127399.pdf","76127399")</f>
        <v>76127399</v>
      </c>
      <c r="F853" s="6" t="s">
        <v>2384</v>
      </c>
      <c r="G853" s="6" t="s">
        <v>2385</v>
      </c>
      <c r="H853" s="8" t="s">
        <v>2386</v>
      </c>
      <c r="I853" s="14">
        <v>45291</v>
      </c>
    </row>
    <row r="854" spans="1:9" x14ac:dyDescent="0.15">
      <c r="A854" s="5">
        <v>853</v>
      </c>
      <c r="B854" s="6" t="s">
        <v>9</v>
      </c>
      <c r="C854" s="7">
        <v>1882</v>
      </c>
      <c r="D854" s="8">
        <v>45388</v>
      </c>
      <c r="E854" s="9" t="str">
        <f>+HYPERLINK("http://trademark.i-assist.jp/data/china/image_1882th/76127433.pdf","76127433")</f>
        <v>76127433</v>
      </c>
      <c r="F854" s="6" t="s">
        <v>2387</v>
      </c>
      <c r="G854" s="6" t="s">
        <v>2388</v>
      </c>
      <c r="H854" s="8" t="s">
        <v>2389</v>
      </c>
      <c r="I854" s="14">
        <v>45291</v>
      </c>
    </row>
    <row r="855" spans="1:9" x14ac:dyDescent="0.15">
      <c r="A855" s="5">
        <v>854</v>
      </c>
      <c r="B855" s="6" t="s">
        <v>9</v>
      </c>
      <c r="C855" s="7">
        <v>1882</v>
      </c>
      <c r="D855" s="8">
        <v>45388</v>
      </c>
      <c r="E855" s="9" t="str">
        <f>+HYPERLINK("http://trademark.i-assist.jp/data/china/image_1882th/76127600.pdf","76127600")</f>
        <v>76127600</v>
      </c>
      <c r="F855" s="6" t="s">
        <v>2390</v>
      </c>
      <c r="G855" s="6" t="s">
        <v>2391</v>
      </c>
      <c r="H855" s="8" t="s">
        <v>2392</v>
      </c>
      <c r="I855" s="14">
        <v>45291</v>
      </c>
    </row>
    <row r="856" spans="1:9" x14ac:dyDescent="0.15">
      <c r="A856" s="5">
        <v>855</v>
      </c>
      <c r="B856" s="6" t="s">
        <v>9</v>
      </c>
      <c r="C856" s="7">
        <v>1882</v>
      </c>
      <c r="D856" s="8">
        <v>45388</v>
      </c>
      <c r="E856" s="9" t="str">
        <f>+HYPERLINK("http://trademark.i-assist.jp/data/china/image_1882th/76127791.pdf","76127791")</f>
        <v>76127791</v>
      </c>
      <c r="F856" s="6" t="s">
        <v>26</v>
      </c>
      <c r="G856" s="6" t="s">
        <v>2393</v>
      </c>
      <c r="H856" s="8" t="s">
        <v>2394</v>
      </c>
      <c r="I856" s="14">
        <v>45291</v>
      </c>
    </row>
    <row r="857" spans="1:9" x14ac:dyDescent="0.15">
      <c r="A857" s="5">
        <v>856</v>
      </c>
      <c r="B857" s="6" t="s">
        <v>9</v>
      </c>
      <c r="C857" s="7">
        <v>1882</v>
      </c>
      <c r="D857" s="8">
        <v>45388</v>
      </c>
      <c r="E857" s="9" t="str">
        <f>+HYPERLINK("http://trademark.i-assist.jp/data/china/image_1882th/76127842.pdf","76127842")</f>
        <v>76127842</v>
      </c>
      <c r="F857" s="6" t="s">
        <v>2395</v>
      </c>
      <c r="G857" s="6" t="s">
        <v>2396</v>
      </c>
      <c r="H857" s="8" t="s">
        <v>2397</v>
      </c>
      <c r="I857" s="14">
        <v>45291</v>
      </c>
    </row>
    <row r="858" spans="1:9" x14ac:dyDescent="0.15">
      <c r="A858" s="5">
        <v>857</v>
      </c>
      <c r="B858" s="6" t="s">
        <v>9</v>
      </c>
      <c r="C858" s="7">
        <v>1882</v>
      </c>
      <c r="D858" s="8">
        <v>45388</v>
      </c>
      <c r="E858" s="9" t="str">
        <f>+HYPERLINK("http://trademark.i-assist.jp/data/china/image_1882th/76127876.pdf","76127876")</f>
        <v>76127876</v>
      </c>
      <c r="F858" s="6" t="s">
        <v>2398</v>
      </c>
      <c r="G858" s="6" t="s">
        <v>2399</v>
      </c>
      <c r="H858" s="8" t="s">
        <v>2400</v>
      </c>
      <c r="I858" s="14">
        <v>45291</v>
      </c>
    </row>
    <row r="859" spans="1:9" x14ac:dyDescent="0.15">
      <c r="A859" s="5">
        <v>858</v>
      </c>
      <c r="B859" s="6" t="s">
        <v>9</v>
      </c>
      <c r="C859" s="7">
        <v>1882</v>
      </c>
      <c r="D859" s="8">
        <v>45388</v>
      </c>
      <c r="E859" s="9" t="str">
        <f>+HYPERLINK("http://trademark.i-assist.jp/data/china/image_1882th/76127998.pdf","76127998")</f>
        <v>76127998</v>
      </c>
      <c r="F859" s="6" t="s">
        <v>2401</v>
      </c>
      <c r="G859" s="6" t="s">
        <v>2382</v>
      </c>
      <c r="H859" s="8" t="s">
        <v>2402</v>
      </c>
      <c r="I859" s="14">
        <v>45291</v>
      </c>
    </row>
    <row r="860" spans="1:9" x14ac:dyDescent="0.15">
      <c r="A860" s="5">
        <v>859</v>
      </c>
      <c r="B860" s="6" t="s">
        <v>9</v>
      </c>
      <c r="C860" s="7">
        <v>1882</v>
      </c>
      <c r="D860" s="8">
        <v>45388</v>
      </c>
      <c r="E860" s="9" t="str">
        <f>+HYPERLINK("http://trademark.i-assist.jp/data/china/image_1882th/76128274.pdf","76128274")</f>
        <v>76128274</v>
      </c>
      <c r="F860" s="6" t="s">
        <v>2403</v>
      </c>
      <c r="G860" s="6" t="s">
        <v>2399</v>
      </c>
      <c r="H860" s="8" t="s">
        <v>2404</v>
      </c>
      <c r="I860" s="14">
        <v>45291</v>
      </c>
    </row>
    <row r="861" spans="1:9" x14ac:dyDescent="0.15">
      <c r="A861" s="5">
        <v>860</v>
      </c>
      <c r="B861" s="6" t="s">
        <v>9</v>
      </c>
      <c r="C861" s="7">
        <v>1882</v>
      </c>
      <c r="D861" s="8">
        <v>45388</v>
      </c>
      <c r="E861" s="9" t="str">
        <f>+HYPERLINK("http://trademark.i-assist.jp/data/china/image_1882th/76128374.pdf","76128374")</f>
        <v>76128374</v>
      </c>
      <c r="F861" s="6" t="s">
        <v>2405</v>
      </c>
      <c r="G861" s="6" t="s">
        <v>2406</v>
      </c>
      <c r="H861" s="8" t="s">
        <v>2407</v>
      </c>
      <c r="I861" s="14">
        <v>45291</v>
      </c>
    </row>
    <row r="862" spans="1:9" x14ac:dyDescent="0.15">
      <c r="A862" s="5">
        <v>861</v>
      </c>
      <c r="B862" s="6" t="s">
        <v>9</v>
      </c>
      <c r="C862" s="7">
        <v>1882</v>
      </c>
      <c r="D862" s="8">
        <v>45388</v>
      </c>
      <c r="E862" s="9" t="str">
        <f>+HYPERLINK("http://trademark.i-assist.jp/data/china/image_1882th/76128465.pdf","76128465")</f>
        <v>76128465</v>
      </c>
      <c r="F862" s="6" t="s">
        <v>2408</v>
      </c>
      <c r="G862" s="6" t="s">
        <v>2396</v>
      </c>
      <c r="H862" s="8" t="s">
        <v>2409</v>
      </c>
      <c r="I862" s="14">
        <v>45291</v>
      </c>
    </row>
    <row r="863" spans="1:9" x14ac:dyDescent="0.15">
      <c r="A863" s="5">
        <v>862</v>
      </c>
      <c r="B863" s="6" t="s">
        <v>9</v>
      </c>
      <c r="C863" s="7">
        <v>1882</v>
      </c>
      <c r="D863" s="8">
        <v>45388</v>
      </c>
      <c r="E863" s="9" t="str">
        <f>+HYPERLINK("http://trademark.i-assist.jp/data/china/image_1882th/76128516.pdf","76128516")</f>
        <v>76128516</v>
      </c>
      <c r="F863" s="6" t="s">
        <v>2410</v>
      </c>
      <c r="G863" s="6" t="s">
        <v>2411</v>
      </c>
      <c r="H863" s="8" t="s">
        <v>2412</v>
      </c>
      <c r="I863" s="14">
        <v>45291</v>
      </c>
    </row>
    <row r="864" spans="1:9" x14ac:dyDescent="0.15">
      <c r="A864" s="5">
        <v>863</v>
      </c>
      <c r="B864" s="6" t="s">
        <v>9</v>
      </c>
      <c r="C864" s="7">
        <v>1882</v>
      </c>
      <c r="D864" s="8">
        <v>45388</v>
      </c>
      <c r="E864" s="9" t="str">
        <f>+HYPERLINK("http://trademark.i-assist.jp/data/china/image_1882th/76128551.pdf","76128551")</f>
        <v>76128551</v>
      </c>
      <c r="F864" s="6" t="s">
        <v>2413</v>
      </c>
      <c r="G864" s="6" t="s">
        <v>2399</v>
      </c>
      <c r="H864" s="8" t="s">
        <v>2414</v>
      </c>
      <c r="I864" s="14">
        <v>45291</v>
      </c>
    </row>
    <row r="865" spans="1:9" x14ac:dyDescent="0.15">
      <c r="A865" s="5">
        <v>864</v>
      </c>
      <c r="B865" s="6" t="s">
        <v>9</v>
      </c>
      <c r="C865" s="7">
        <v>1882</v>
      </c>
      <c r="D865" s="8">
        <v>45388</v>
      </c>
      <c r="E865" s="9" t="str">
        <f>+HYPERLINK("http://trademark.i-assist.jp/data/china/image_1882th/76129043.pdf","76129043")</f>
        <v>76129043</v>
      </c>
      <c r="F865" s="6" t="s">
        <v>2415</v>
      </c>
      <c r="G865" s="6" t="s">
        <v>2416</v>
      </c>
      <c r="H865" s="8" t="s">
        <v>2417</v>
      </c>
      <c r="I865" s="14">
        <v>45292</v>
      </c>
    </row>
    <row r="866" spans="1:9" x14ac:dyDescent="0.15">
      <c r="A866" s="5">
        <v>865</v>
      </c>
      <c r="B866" s="6" t="s">
        <v>9</v>
      </c>
      <c r="C866" s="7">
        <v>1882</v>
      </c>
      <c r="D866" s="8">
        <v>45388</v>
      </c>
      <c r="E866" s="9" t="str">
        <f>+HYPERLINK("http://trademark.i-assist.jp/data/china/image_1882th/76129102.pdf","76129102")</f>
        <v>76129102</v>
      </c>
      <c r="F866" s="6" t="s">
        <v>2418</v>
      </c>
      <c r="G866" s="6" t="s">
        <v>2419</v>
      </c>
      <c r="H866" s="8" t="s">
        <v>2420</v>
      </c>
      <c r="I866" s="14">
        <v>45292</v>
      </c>
    </row>
    <row r="867" spans="1:9" x14ac:dyDescent="0.15">
      <c r="A867" s="5">
        <v>866</v>
      </c>
      <c r="B867" s="6" t="s">
        <v>9</v>
      </c>
      <c r="C867" s="7">
        <v>1882</v>
      </c>
      <c r="D867" s="8">
        <v>45388</v>
      </c>
      <c r="E867" s="9" t="str">
        <f>+HYPERLINK("http://trademark.i-assist.jp/data/china/image_1882th/76129762.pdf","76129762")</f>
        <v>76129762</v>
      </c>
      <c r="F867" s="6" t="s">
        <v>2421</v>
      </c>
      <c r="G867" s="6" t="s">
        <v>2422</v>
      </c>
      <c r="H867" s="8" t="s">
        <v>2423</v>
      </c>
      <c r="I867" s="14">
        <v>45292</v>
      </c>
    </row>
    <row r="868" spans="1:9" x14ac:dyDescent="0.15">
      <c r="A868" s="5">
        <v>867</v>
      </c>
      <c r="B868" s="6" t="s">
        <v>9</v>
      </c>
      <c r="C868" s="7">
        <v>1882</v>
      </c>
      <c r="D868" s="8">
        <v>45388</v>
      </c>
      <c r="E868" s="9" t="str">
        <f>+HYPERLINK("http://trademark.i-assist.jp/data/china/image_1882th/76129871.pdf","76129871")</f>
        <v>76129871</v>
      </c>
      <c r="F868" s="6" t="s">
        <v>2424</v>
      </c>
      <c r="G868" s="6" t="s">
        <v>2425</v>
      </c>
      <c r="H868" s="8" t="s">
        <v>2426</v>
      </c>
      <c r="I868" s="14">
        <v>45292</v>
      </c>
    </row>
    <row r="869" spans="1:9" x14ac:dyDescent="0.15">
      <c r="A869" s="5">
        <v>868</v>
      </c>
      <c r="B869" s="6" t="s">
        <v>9</v>
      </c>
      <c r="C869" s="7">
        <v>1882</v>
      </c>
      <c r="D869" s="8">
        <v>45388</v>
      </c>
      <c r="E869" s="9" t="str">
        <f>+HYPERLINK("http://trademark.i-assist.jp/data/china/image_1882th/76129901.pdf","76129901")</f>
        <v>76129901</v>
      </c>
      <c r="F869" s="6" t="s">
        <v>2427</v>
      </c>
      <c r="G869" s="6" t="s">
        <v>2428</v>
      </c>
      <c r="H869" s="8" t="s">
        <v>2429</v>
      </c>
      <c r="I869" s="14">
        <v>45292</v>
      </c>
    </row>
    <row r="870" spans="1:9" x14ac:dyDescent="0.15">
      <c r="A870" s="5">
        <v>869</v>
      </c>
      <c r="B870" s="6" t="s">
        <v>9</v>
      </c>
      <c r="C870" s="7">
        <v>1882</v>
      </c>
      <c r="D870" s="8">
        <v>45388</v>
      </c>
      <c r="E870" s="9" t="str">
        <f>+HYPERLINK("http://trademark.i-assist.jp/data/china/image_1882th/76130315.pdf","76130315")</f>
        <v>76130315</v>
      </c>
      <c r="F870" s="6" t="s">
        <v>2430</v>
      </c>
      <c r="G870" s="6" t="s">
        <v>2431</v>
      </c>
      <c r="H870" s="8" t="s">
        <v>2432</v>
      </c>
      <c r="I870" s="14">
        <v>45293</v>
      </c>
    </row>
    <row r="871" spans="1:9" x14ac:dyDescent="0.15">
      <c r="A871" s="5">
        <v>870</v>
      </c>
      <c r="B871" s="6" t="s">
        <v>9</v>
      </c>
      <c r="C871" s="7">
        <v>1882</v>
      </c>
      <c r="D871" s="8">
        <v>45388</v>
      </c>
      <c r="E871" s="9" t="str">
        <f>+HYPERLINK("http://trademark.i-assist.jp/data/china/image_1882th/76130380.pdf","76130380")</f>
        <v>76130380</v>
      </c>
      <c r="F871" s="6" t="s">
        <v>2433</v>
      </c>
      <c r="G871" s="6" t="s">
        <v>2434</v>
      </c>
      <c r="H871" s="8" t="s">
        <v>2435</v>
      </c>
      <c r="I871" s="14">
        <v>45293</v>
      </c>
    </row>
    <row r="872" spans="1:9" x14ac:dyDescent="0.15">
      <c r="A872" s="5">
        <v>871</v>
      </c>
      <c r="B872" s="6" t="s">
        <v>9</v>
      </c>
      <c r="C872" s="7">
        <v>1882</v>
      </c>
      <c r="D872" s="8">
        <v>45388</v>
      </c>
      <c r="E872" s="9" t="str">
        <f>+HYPERLINK("http://trademark.i-assist.jp/data/china/image_1882th/76130524.pdf","76130524")</f>
        <v>76130524</v>
      </c>
      <c r="F872" s="6" t="s">
        <v>2436</v>
      </c>
      <c r="G872" s="6" t="s">
        <v>2437</v>
      </c>
      <c r="H872" s="8" t="s">
        <v>2438</v>
      </c>
      <c r="I872" s="14">
        <v>45293</v>
      </c>
    </row>
    <row r="873" spans="1:9" x14ac:dyDescent="0.15">
      <c r="A873" s="5">
        <v>872</v>
      </c>
      <c r="B873" s="6" t="s">
        <v>9</v>
      </c>
      <c r="C873" s="7">
        <v>1882</v>
      </c>
      <c r="D873" s="8">
        <v>45388</v>
      </c>
      <c r="E873" s="9" t="str">
        <f>+HYPERLINK("http://trademark.i-assist.jp/data/china/image_1882th/76130848.pdf","76130848")</f>
        <v>76130848</v>
      </c>
      <c r="F873" s="6" t="s">
        <v>2439</v>
      </c>
      <c r="G873" s="6" t="s">
        <v>2440</v>
      </c>
      <c r="H873" s="8" t="s">
        <v>2441</v>
      </c>
      <c r="I873" s="14">
        <v>45293</v>
      </c>
    </row>
    <row r="874" spans="1:9" x14ac:dyDescent="0.15">
      <c r="A874" s="5">
        <v>873</v>
      </c>
      <c r="B874" s="6" t="s">
        <v>9</v>
      </c>
      <c r="C874" s="7">
        <v>1882</v>
      </c>
      <c r="D874" s="8">
        <v>45388</v>
      </c>
      <c r="E874" s="9" t="str">
        <f>+HYPERLINK("http://trademark.i-assist.jp/data/china/image_1882th/76130869.pdf","76130869")</f>
        <v>76130869</v>
      </c>
      <c r="F874" s="6" t="s">
        <v>26</v>
      </c>
      <c r="G874" s="6" t="s">
        <v>2442</v>
      </c>
      <c r="H874" s="8" t="s">
        <v>2443</v>
      </c>
      <c r="I874" s="14">
        <v>45293</v>
      </c>
    </row>
    <row r="875" spans="1:9" x14ac:dyDescent="0.15">
      <c r="A875" s="5">
        <v>874</v>
      </c>
      <c r="B875" s="6" t="s">
        <v>9</v>
      </c>
      <c r="C875" s="7">
        <v>1882</v>
      </c>
      <c r="D875" s="8">
        <v>45388</v>
      </c>
      <c r="E875" s="9" t="str">
        <f>+HYPERLINK("http://trademark.i-assist.jp/data/china/image_1882th/76131136.pdf","76131136")</f>
        <v>76131136</v>
      </c>
      <c r="F875" s="6" t="s">
        <v>2444</v>
      </c>
      <c r="G875" s="6" t="s">
        <v>2445</v>
      </c>
      <c r="H875" s="8" t="s">
        <v>2446</v>
      </c>
      <c r="I875" s="14">
        <v>45293</v>
      </c>
    </row>
    <row r="876" spans="1:9" x14ac:dyDescent="0.15">
      <c r="A876" s="5">
        <v>875</v>
      </c>
      <c r="B876" s="6" t="s">
        <v>9</v>
      </c>
      <c r="C876" s="7">
        <v>1882</v>
      </c>
      <c r="D876" s="8">
        <v>45388</v>
      </c>
      <c r="E876" s="9" t="str">
        <f>+HYPERLINK("http://trademark.i-assist.jp/data/china/image_1882th/76131497.pdf","76131497")</f>
        <v>76131497</v>
      </c>
      <c r="F876" s="6" t="s">
        <v>2447</v>
      </c>
      <c r="G876" s="6" t="s">
        <v>2448</v>
      </c>
      <c r="H876" s="8" t="s">
        <v>2449</v>
      </c>
      <c r="I876" s="14">
        <v>45293</v>
      </c>
    </row>
    <row r="877" spans="1:9" x14ac:dyDescent="0.15">
      <c r="A877" s="5">
        <v>876</v>
      </c>
      <c r="B877" s="6" t="s">
        <v>9</v>
      </c>
      <c r="C877" s="7">
        <v>1882</v>
      </c>
      <c r="D877" s="8">
        <v>45388</v>
      </c>
      <c r="E877" s="9" t="str">
        <f>+HYPERLINK("http://trademark.i-assist.jp/data/china/image_1882th/76131577.pdf","76131577")</f>
        <v>76131577</v>
      </c>
      <c r="F877" s="6" t="s">
        <v>2450</v>
      </c>
      <c r="G877" s="6" t="s">
        <v>2451</v>
      </c>
      <c r="H877" s="8" t="s">
        <v>2452</v>
      </c>
      <c r="I877" s="14">
        <v>45293</v>
      </c>
    </row>
    <row r="878" spans="1:9" x14ac:dyDescent="0.15">
      <c r="A878" s="5">
        <v>877</v>
      </c>
      <c r="B878" s="6" t="s">
        <v>9</v>
      </c>
      <c r="C878" s="7">
        <v>1882</v>
      </c>
      <c r="D878" s="8">
        <v>45388</v>
      </c>
      <c r="E878" s="9" t="str">
        <f>+HYPERLINK("http://trademark.i-assist.jp/data/china/image_1882th/76131659.pdf","76131659")</f>
        <v>76131659</v>
      </c>
      <c r="F878" s="6" t="s">
        <v>2453</v>
      </c>
      <c r="G878" s="6" t="s">
        <v>2454</v>
      </c>
      <c r="H878" s="8" t="s">
        <v>2455</v>
      </c>
      <c r="I878" s="14">
        <v>45293</v>
      </c>
    </row>
    <row r="879" spans="1:9" x14ac:dyDescent="0.15">
      <c r="A879" s="5">
        <v>878</v>
      </c>
      <c r="B879" s="6" t="s">
        <v>9</v>
      </c>
      <c r="C879" s="7">
        <v>1882</v>
      </c>
      <c r="D879" s="8">
        <v>45388</v>
      </c>
      <c r="E879" s="9" t="str">
        <f>+HYPERLINK("http://trademark.i-assist.jp/data/china/image_1882th/76132167.pdf","76132167")</f>
        <v>76132167</v>
      </c>
      <c r="F879" s="6" t="s">
        <v>2456</v>
      </c>
      <c r="G879" s="6" t="s">
        <v>2457</v>
      </c>
      <c r="H879" s="8" t="s">
        <v>2458</v>
      </c>
      <c r="I879" s="14">
        <v>45293</v>
      </c>
    </row>
    <row r="880" spans="1:9" x14ac:dyDescent="0.15">
      <c r="A880" s="5">
        <v>879</v>
      </c>
      <c r="B880" s="6" t="s">
        <v>9</v>
      </c>
      <c r="C880" s="7">
        <v>1882</v>
      </c>
      <c r="D880" s="8">
        <v>45388</v>
      </c>
      <c r="E880" s="9" t="str">
        <f>+HYPERLINK("http://trademark.i-assist.jp/data/china/image_1882th/76132182.pdf","76132182")</f>
        <v>76132182</v>
      </c>
      <c r="F880" s="6" t="s">
        <v>2459</v>
      </c>
      <c r="G880" s="6" t="s">
        <v>2460</v>
      </c>
      <c r="H880" s="8" t="s">
        <v>2461</v>
      </c>
      <c r="I880" s="14">
        <v>45293</v>
      </c>
    </row>
    <row r="881" spans="1:9" x14ac:dyDescent="0.15">
      <c r="A881" s="5">
        <v>880</v>
      </c>
      <c r="B881" s="6" t="s">
        <v>9</v>
      </c>
      <c r="C881" s="7">
        <v>1882</v>
      </c>
      <c r="D881" s="8">
        <v>45388</v>
      </c>
      <c r="E881" s="9" t="str">
        <f>+HYPERLINK("http://trademark.i-assist.jp/data/china/image_1882th/76132215.pdf","76132215")</f>
        <v>76132215</v>
      </c>
      <c r="F881" s="6" t="s">
        <v>2462</v>
      </c>
      <c r="G881" s="6" t="s">
        <v>2463</v>
      </c>
      <c r="H881" s="8" t="s">
        <v>2464</v>
      </c>
      <c r="I881" s="14">
        <v>45293</v>
      </c>
    </row>
    <row r="882" spans="1:9" x14ac:dyDescent="0.15">
      <c r="A882" s="5">
        <v>881</v>
      </c>
      <c r="B882" s="6" t="s">
        <v>9</v>
      </c>
      <c r="C882" s="7">
        <v>1882</v>
      </c>
      <c r="D882" s="8">
        <v>45388</v>
      </c>
      <c r="E882" s="9" t="str">
        <f>+HYPERLINK("http://trademark.i-assist.jp/data/china/image_1882th/76132558.pdf","76132558")</f>
        <v>76132558</v>
      </c>
      <c r="F882" s="6" t="s">
        <v>2465</v>
      </c>
      <c r="G882" s="6" t="s">
        <v>2466</v>
      </c>
      <c r="H882" s="8" t="s">
        <v>2467</v>
      </c>
      <c r="I882" s="14">
        <v>45293</v>
      </c>
    </row>
    <row r="883" spans="1:9" x14ac:dyDescent="0.15">
      <c r="A883" s="5">
        <v>882</v>
      </c>
      <c r="B883" s="6" t="s">
        <v>9</v>
      </c>
      <c r="C883" s="7">
        <v>1882</v>
      </c>
      <c r="D883" s="8">
        <v>45388</v>
      </c>
      <c r="E883" s="9" t="str">
        <f>+HYPERLINK("http://trademark.i-assist.jp/data/china/image_1882th/76132605.pdf","76132605")</f>
        <v>76132605</v>
      </c>
      <c r="F883" s="6" t="s">
        <v>2468</v>
      </c>
      <c r="G883" s="6" t="s">
        <v>2469</v>
      </c>
      <c r="H883" s="8" t="s">
        <v>2470</v>
      </c>
      <c r="I883" s="14">
        <v>45293</v>
      </c>
    </row>
    <row r="884" spans="1:9" x14ac:dyDescent="0.15">
      <c r="A884" s="5">
        <v>883</v>
      </c>
      <c r="B884" s="6" t="s">
        <v>9</v>
      </c>
      <c r="C884" s="7">
        <v>1882</v>
      </c>
      <c r="D884" s="8">
        <v>45388</v>
      </c>
      <c r="E884" s="9" t="str">
        <f>+HYPERLINK("http://trademark.i-assist.jp/data/china/image_1882th/76132811.pdf","76132811")</f>
        <v>76132811</v>
      </c>
      <c r="F884" s="6" t="s">
        <v>2471</v>
      </c>
      <c r="G884" s="6" t="s">
        <v>2472</v>
      </c>
      <c r="H884" s="8" t="s">
        <v>2473</v>
      </c>
      <c r="I884" s="14">
        <v>45293</v>
      </c>
    </row>
    <row r="885" spans="1:9" x14ac:dyDescent="0.15">
      <c r="A885" s="5">
        <v>884</v>
      </c>
      <c r="B885" s="6" t="s">
        <v>9</v>
      </c>
      <c r="C885" s="7">
        <v>1882</v>
      </c>
      <c r="D885" s="8">
        <v>45388</v>
      </c>
      <c r="E885" s="9" t="str">
        <f>+HYPERLINK("http://trademark.i-assist.jp/data/china/image_1882th/76133055.pdf","76133055")</f>
        <v>76133055</v>
      </c>
      <c r="F885" s="6" t="s">
        <v>2474</v>
      </c>
      <c r="G885" s="6" t="s">
        <v>2475</v>
      </c>
      <c r="H885" s="8" t="s">
        <v>2476</v>
      </c>
      <c r="I885" s="14">
        <v>45293</v>
      </c>
    </row>
    <row r="886" spans="1:9" x14ac:dyDescent="0.15">
      <c r="A886" s="5">
        <v>885</v>
      </c>
      <c r="B886" s="6" t="s">
        <v>9</v>
      </c>
      <c r="C886" s="7">
        <v>1882</v>
      </c>
      <c r="D886" s="8">
        <v>45388</v>
      </c>
      <c r="E886" s="9" t="str">
        <f>+HYPERLINK("http://trademark.i-assist.jp/data/china/image_1882th/76133271.pdf","76133271")</f>
        <v>76133271</v>
      </c>
      <c r="F886" s="6" t="s">
        <v>2477</v>
      </c>
      <c r="G886" s="6" t="s">
        <v>2478</v>
      </c>
      <c r="H886" s="8" t="s">
        <v>2479</v>
      </c>
      <c r="I886" s="14">
        <v>45293</v>
      </c>
    </row>
    <row r="887" spans="1:9" x14ac:dyDescent="0.15">
      <c r="A887" s="5">
        <v>886</v>
      </c>
      <c r="B887" s="6" t="s">
        <v>9</v>
      </c>
      <c r="C887" s="7">
        <v>1882</v>
      </c>
      <c r="D887" s="8">
        <v>45388</v>
      </c>
      <c r="E887" s="9" t="str">
        <f>+HYPERLINK("http://trademark.i-assist.jp/data/china/image_1882th/76133295.pdf","76133295")</f>
        <v>76133295</v>
      </c>
      <c r="F887" s="6" t="s">
        <v>2480</v>
      </c>
      <c r="G887" s="6" t="s">
        <v>2481</v>
      </c>
      <c r="H887" s="8" t="s">
        <v>2482</v>
      </c>
      <c r="I887" s="14">
        <v>45293</v>
      </c>
    </row>
    <row r="888" spans="1:9" x14ac:dyDescent="0.15">
      <c r="A888" s="5">
        <v>887</v>
      </c>
      <c r="B888" s="6" t="s">
        <v>9</v>
      </c>
      <c r="C888" s="7">
        <v>1882</v>
      </c>
      <c r="D888" s="8">
        <v>45388</v>
      </c>
      <c r="E888" s="9" t="str">
        <f>+HYPERLINK("http://trademark.i-assist.jp/data/china/image_1882th/76133865.pdf","76133865")</f>
        <v>76133865</v>
      </c>
      <c r="F888" s="6" t="s">
        <v>2483</v>
      </c>
      <c r="G888" s="6" t="s">
        <v>2484</v>
      </c>
      <c r="H888" s="8" t="s">
        <v>2485</v>
      </c>
      <c r="I888" s="14">
        <v>45293</v>
      </c>
    </row>
    <row r="889" spans="1:9" x14ac:dyDescent="0.15">
      <c r="A889" s="5">
        <v>888</v>
      </c>
      <c r="B889" s="6" t="s">
        <v>9</v>
      </c>
      <c r="C889" s="7">
        <v>1882</v>
      </c>
      <c r="D889" s="8">
        <v>45388</v>
      </c>
      <c r="E889" s="9" t="str">
        <f>+HYPERLINK("http://trademark.i-assist.jp/data/china/image_1882th/76133872.pdf","76133872")</f>
        <v>76133872</v>
      </c>
      <c r="F889" s="6" t="s">
        <v>2486</v>
      </c>
      <c r="G889" s="6" t="s">
        <v>2487</v>
      </c>
      <c r="H889" s="8" t="s">
        <v>2488</v>
      </c>
      <c r="I889" s="14">
        <v>45293</v>
      </c>
    </row>
    <row r="890" spans="1:9" x14ac:dyDescent="0.15">
      <c r="A890" s="5">
        <v>889</v>
      </c>
      <c r="B890" s="6" t="s">
        <v>9</v>
      </c>
      <c r="C890" s="7">
        <v>1882</v>
      </c>
      <c r="D890" s="8">
        <v>45388</v>
      </c>
      <c r="E890" s="9" t="str">
        <f>+HYPERLINK("http://trademark.i-assist.jp/data/china/image_1882th/76134055.pdf","76134055")</f>
        <v>76134055</v>
      </c>
      <c r="F890" s="6" t="s">
        <v>2489</v>
      </c>
      <c r="G890" s="6" t="s">
        <v>2490</v>
      </c>
      <c r="H890" s="8" t="s">
        <v>2491</v>
      </c>
      <c r="I890" s="14">
        <v>45293</v>
      </c>
    </row>
    <row r="891" spans="1:9" x14ac:dyDescent="0.15">
      <c r="A891" s="5">
        <v>890</v>
      </c>
      <c r="B891" s="6" t="s">
        <v>9</v>
      </c>
      <c r="C891" s="7">
        <v>1882</v>
      </c>
      <c r="D891" s="8">
        <v>45388</v>
      </c>
      <c r="E891" s="9" t="str">
        <f>+HYPERLINK("http://trademark.i-assist.jp/data/china/image_1882th/76134275.pdf","76134275")</f>
        <v>76134275</v>
      </c>
      <c r="F891" s="6" t="s">
        <v>2492</v>
      </c>
      <c r="G891" s="6" t="s">
        <v>2493</v>
      </c>
      <c r="H891" s="8" t="s">
        <v>2494</v>
      </c>
      <c r="I891" s="14">
        <v>45293</v>
      </c>
    </row>
    <row r="892" spans="1:9" x14ac:dyDescent="0.15">
      <c r="A892" s="5">
        <v>891</v>
      </c>
      <c r="B892" s="6" t="s">
        <v>9</v>
      </c>
      <c r="C892" s="7">
        <v>1882</v>
      </c>
      <c r="D892" s="8">
        <v>45388</v>
      </c>
      <c r="E892" s="9" t="str">
        <f>+HYPERLINK("http://trademark.i-assist.jp/data/china/image_1882th/76134355.pdf","76134355")</f>
        <v>76134355</v>
      </c>
      <c r="F892" s="6" t="s">
        <v>2495</v>
      </c>
      <c r="G892" s="6" t="s">
        <v>2496</v>
      </c>
      <c r="H892" s="8" t="s">
        <v>2497</v>
      </c>
      <c r="I892" s="14">
        <v>45293</v>
      </c>
    </row>
    <row r="893" spans="1:9" x14ac:dyDescent="0.15">
      <c r="A893" s="5">
        <v>892</v>
      </c>
      <c r="B893" s="6" t="s">
        <v>9</v>
      </c>
      <c r="C893" s="7">
        <v>1882</v>
      </c>
      <c r="D893" s="8">
        <v>45388</v>
      </c>
      <c r="E893" s="9" t="str">
        <f>+HYPERLINK("http://trademark.i-assist.jp/data/china/image_1882th/76134636.pdf","76134636")</f>
        <v>76134636</v>
      </c>
      <c r="F893" s="6" t="s">
        <v>2498</v>
      </c>
      <c r="G893" s="6" t="s">
        <v>2499</v>
      </c>
      <c r="H893" s="8" t="s">
        <v>2500</v>
      </c>
      <c r="I893" s="14">
        <v>45293</v>
      </c>
    </row>
    <row r="894" spans="1:9" x14ac:dyDescent="0.15">
      <c r="A894" s="5">
        <v>893</v>
      </c>
      <c r="B894" s="6" t="s">
        <v>9</v>
      </c>
      <c r="C894" s="7">
        <v>1882</v>
      </c>
      <c r="D894" s="8">
        <v>45388</v>
      </c>
      <c r="E894" s="9" t="str">
        <f>+HYPERLINK("http://trademark.i-assist.jp/data/china/image_1882th/76134675.pdf","76134675")</f>
        <v>76134675</v>
      </c>
      <c r="F894" s="6" t="s">
        <v>2501</v>
      </c>
      <c r="G894" s="6" t="s">
        <v>2502</v>
      </c>
      <c r="H894" s="8" t="s">
        <v>2503</v>
      </c>
      <c r="I894" s="14">
        <v>45293</v>
      </c>
    </row>
    <row r="895" spans="1:9" x14ac:dyDescent="0.15">
      <c r="A895" s="5">
        <v>894</v>
      </c>
      <c r="B895" s="6" t="s">
        <v>9</v>
      </c>
      <c r="C895" s="7">
        <v>1882</v>
      </c>
      <c r="D895" s="8">
        <v>45388</v>
      </c>
      <c r="E895" s="9" t="str">
        <f>+HYPERLINK("http://trademark.i-assist.jp/data/china/image_1882th/76134748.pdf","76134748")</f>
        <v>76134748</v>
      </c>
      <c r="F895" s="6" t="s">
        <v>2504</v>
      </c>
      <c r="G895" s="6" t="s">
        <v>1883</v>
      </c>
      <c r="H895" s="8" t="s">
        <v>2505</v>
      </c>
      <c r="I895" s="14">
        <v>45293</v>
      </c>
    </row>
    <row r="896" spans="1:9" x14ac:dyDescent="0.15">
      <c r="A896" s="5">
        <v>895</v>
      </c>
      <c r="B896" s="6" t="s">
        <v>9</v>
      </c>
      <c r="C896" s="7">
        <v>1882</v>
      </c>
      <c r="D896" s="8">
        <v>45388</v>
      </c>
      <c r="E896" s="9" t="str">
        <f>+HYPERLINK("http://trademark.i-assist.jp/data/china/image_1882th/76134837.pdf","76134837")</f>
        <v>76134837</v>
      </c>
      <c r="F896" s="6" t="s">
        <v>2506</v>
      </c>
      <c r="G896" s="6" t="s">
        <v>2507</v>
      </c>
      <c r="H896" s="8" t="s">
        <v>2508</v>
      </c>
      <c r="I896" s="14">
        <v>45293</v>
      </c>
    </row>
    <row r="897" spans="1:9" x14ac:dyDescent="0.15">
      <c r="A897" s="5">
        <v>896</v>
      </c>
      <c r="B897" s="6" t="s">
        <v>9</v>
      </c>
      <c r="C897" s="7">
        <v>1882</v>
      </c>
      <c r="D897" s="8">
        <v>45388</v>
      </c>
      <c r="E897" s="9" t="str">
        <f>+HYPERLINK("http://trademark.i-assist.jp/data/china/image_1882th/76134901.pdf","76134901")</f>
        <v>76134901</v>
      </c>
      <c r="F897" s="6" t="s">
        <v>2509</v>
      </c>
      <c r="G897" s="6" t="s">
        <v>2510</v>
      </c>
      <c r="H897" s="8" t="s">
        <v>2511</v>
      </c>
      <c r="I897" s="14">
        <v>45293</v>
      </c>
    </row>
    <row r="898" spans="1:9" x14ac:dyDescent="0.15">
      <c r="A898" s="5">
        <v>897</v>
      </c>
      <c r="B898" s="6" t="s">
        <v>9</v>
      </c>
      <c r="C898" s="7">
        <v>1882</v>
      </c>
      <c r="D898" s="8">
        <v>45388</v>
      </c>
      <c r="E898" s="9" t="str">
        <f>+HYPERLINK("http://trademark.i-assist.jp/data/china/image_1882th/76135253.pdf","76135253")</f>
        <v>76135253</v>
      </c>
      <c r="F898" s="6" t="s">
        <v>2512</v>
      </c>
      <c r="G898" s="6" t="s">
        <v>2513</v>
      </c>
      <c r="H898" s="8" t="s">
        <v>2514</v>
      </c>
      <c r="I898" s="14">
        <v>45293</v>
      </c>
    </row>
    <row r="899" spans="1:9" x14ac:dyDescent="0.15">
      <c r="A899" s="5">
        <v>898</v>
      </c>
      <c r="B899" s="6" t="s">
        <v>9</v>
      </c>
      <c r="C899" s="7">
        <v>1882</v>
      </c>
      <c r="D899" s="8">
        <v>45388</v>
      </c>
      <c r="E899" s="9" t="str">
        <f>+HYPERLINK("http://trademark.i-assist.jp/data/china/image_1882th/76135351.pdf","76135351")</f>
        <v>76135351</v>
      </c>
      <c r="F899" s="6" t="s">
        <v>2515</v>
      </c>
      <c r="G899" s="6" t="s">
        <v>2516</v>
      </c>
      <c r="H899" s="8" t="s">
        <v>2517</v>
      </c>
      <c r="I899" s="14">
        <v>45293</v>
      </c>
    </row>
    <row r="900" spans="1:9" x14ac:dyDescent="0.15">
      <c r="A900" s="5">
        <v>899</v>
      </c>
      <c r="B900" s="6" t="s">
        <v>9</v>
      </c>
      <c r="C900" s="7">
        <v>1882</v>
      </c>
      <c r="D900" s="8">
        <v>45388</v>
      </c>
      <c r="E900" s="9" t="str">
        <f>+HYPERLINK("http://trademark.i-assist.jp/data/china/image_1882th/76135657.pdf","76135657")</f>
        <v>76135657</v>
      </c>
      <c r="F900" s="6" t="s">
        <v>2518</v>
      </c>
      <c r="G900" s="6" t="s">
        <v>2519</v>
      </c>
      <c r="H900" s="8" t="s">
        <v>2520</v>
      </c>
      <c r="I900" s="14">
        <v>45293</v>
      </c>
    </row>
    <row r="901" spans="1:9" x14ac:dyDescent="0.15">
      <c r="A901" s="5">
        <v>900</v>
      </c>
      <c r="B901" s="6" t="s">
        <v>9</v>
      </c>
      <c r="C901" s="7">
        <v>1882</v>
      </c>
      <c r="D901" s="8">
        <v>45388</v>
      </c>
      <c r="E901" s="9" t="str">
        <f>+HYPERLINK("http://trademark.i-assist.jp/data/china/image_1882th/76136942.pdf","76136942")</f>
        <v>76136942</v>
      </c>
      <c r="F901" s="6" t="s">
        <v>2521</v>
      </c>
      <c r="G901" s="6" t="s">
        <v>2522</v>
      </c>
      <c r="H901" s="8" t="s">
        <v>2523</v>
      </c>
      <c r="I901" s="14">
        <v>45293</v>
      </c>
    </row>
    <row r="902" spans="1:9" x14ac:dyDescent="0.15">
      <c r="A902" s="5">
        <v>901</v>
      </c>
      <c r="B902" s="6" t="s">
        <v>9</v>
      </c>
      <c r="C902" s="7">
        <v>1882</v>
      </c>
      <c r="D902" s="8">
        <v>45388</v>
      </c>
      <c r="E902" s="9" t="str">
        <f>+HYPERLINK("http://trademark.i-assist.jp/data/china/image_1882th/76136966.pdf","76136966")</f>
        <v>76136966</v>
      </c>
      <c r="F902" s="6" t="s">
        <v>2524</v>
      </c>
      <c r="G902" s="6" t="s">
        <v>1509</v>
      </c>
      <c r="H902" s="8" t="s">
        <v>2525</v>
      </c>
      <c r="I902" s="14">
        <v>45293</v>
      </c>
    </row>
    <row r="903" spans="1:9" x14ac:dyDescent="0.15">
      <c r="A903" s="5">
        <v>902</v>
      </c>
      <c r="B903" s="6" t="s">
        <v>9</v>
      </c>
      <c r="C903" s="7">
        <v>1882</v>
      </c>
      <c r="D903" s="8">
        <v>45388</v>
      </c>
      <c r="E903" s="9" t="str">
        <f>+HYPERLINK("http://trademark.i-assist.jp/data/china/image_1882th/76137840.pdf","76137840")</f>
        <v>76137840</v>
      </c>
      <c r="F903" s="6" t="s">
        <v>2526</v>
      </c>
      <c r="G903" s="6" t="s">
        <v>2527</v>
      </c>
      <c r="H903" s="8" t="s">
        <v>2528</v>
      </c>
      <c r="I903" s="14">
        <v>45293</v>
      </c>
    </row>
    <row r="904" spans="1:9" x14ac:dyDescent="0.15">
      <c r="A904" s="5">
        <v>903</v>
      </c>
      <c r="B904" s="6" t="s">
        <v>9</v>
      </c>
      <c r="C904" s="7">
        <v>1882</v>
      </c>
      <c r="D904" s="8">
        <v>45388</v>
      </c>
      <c r="E904" s="9" t="str">
        <f>+HYPERLINK("http://trademark.i-assist.jp/data/china/image_1882th/76137872.pdf","76137872")</f>
        <v>76137872</v>
      </c>
      <c r="F904" s="6" t="s">
        <v>2529</v>
      </c>
      <c r="G904" s="6" t="s">
        <v>2530</v>
      </c>
      <c r="H904" s="8" t="s">
        <v>2531</v>
      </c>
      <c r="I904" s="14">
        <v>45293</v>
      </c>
    </row>
    <row r="905" spans="1:9" x14ac:dyDescent="0.15">
      <c r="A905" s="5">
        <v>904</v>
      </c>
      <c r="B905" s="6" t="s">
        <v>9</v>
      </c>
      <c r="C905" s="7">
        <v>1882</v>
      </c>
      <c r="D905" s="8">
        <v>45388</v>
      </c>
      <c r="E905" s="9" t="str">
        <f>+HYPERLINK("http://trademark.i-assist.jp/data/china/image_1882th/76137994.pdf","76137994")</f>
        <v>76137994</v>
      </c>
      <c r="F905" s="6" t="s">
        <v>26</v>
      </c>
      <c r="G905" s="6" t="s">
        <v>2532</v>
      </c>
      <c r="H905" s="8" t="s">
        <v>2533</v>
      </c>
      <c r="I905" s="14">
        <v>45293</v>
      </c>
    </row>
    <row r="906" spans="1:9" x14ac:dyDescent="0.15">
      <c r="A906" s="5">
        <v>905</v>
      </c>
      <c r="B906" s="6" t="s">
        <v>9</v>
      </c>
      <c r="C906" s="7">
        <v>1882</v>
      </c>
      <c r="D906" s="8">
        <v>45388</v>
      </c>
      <c r="E906" s="9" t="str">
        <f>+HYPERLINK("http://trademark.i-assist.jp/data/china/image_1882th/76138521.pdf","76138521")</f>
        <v>76138521</v>
      </c>
      <c r="F906" s="6" t="s">
        <v>2534</v>
      </c>
      <c r="G906" s="6" t="s">
        <v>2535</v>
      </c>
      <c r="H906" s="8" t="s">
        <v>2536</v>
      </c>
      <c r="I906" s="14">
        <v>45293</v>
      </c>
    </row>
    <row r="907" spans="1:9" x14ac:dyDescent="0.15">
      <c r="A907" s="5">
        <v>906</v>
      </c>
      <c r="B907" s="6" t="s">
        <v>9</v>
      </c>
      <c r="C907" s="7">
        <v>1882</v>
      </c>
      <c r="D907" s="8">
        <v>45388</v>
      </c>
      <c r="E907" s="9" t="str">
        <f>+HYPERLINK("http://trademark.i-assist.jp/data/china/image_1882th/76138806.pdf","76138806")</f>
        <v>76138806</v>
      </c>
      <c r="F907" s="6" t="s">
        <v>2537</v>
      </c>
      <c r="G907" s="6" t="s">
        <v>2538</v>
      </c>
      <c r="H907" s="8" t="s">
        <v>2539</v>
      </c>
      <c r="I907" s="14">
        <v>45293</v>
      </c>
    </row>
    <row r="908" spans="1:9" x14ac:dyDescent="0.15">
      <c r="A908" s="5">
        <v>907</v>
      </c>
      <c r="B908" s="6" t="s">
        <v>9</v>
      </c>
      <c r="C908" s="7">
        <v>1882</v>
      </c>
      <c r="D908" s="8">
        <v>45388</v>
      </c>
      <c r="E908" s="9" t="str">
        <f>+HYPERLINK("http://trademark.i-assist.jp/data/china/image_1882th/76138815.pdf","76138815")</f>
        <v>76138815</v>
      </c>
      <c r="F908" s="6" t="s">
        <v>2540</v>
      </c>
      <c r="G908" s="6" t="s">
        <v>2541</v>
      </c>
      <c r="H908" s="8" t="s">
        <v>2542</v>
      </c>
      <c r="I908" s="14">
        <v>45293</v>
      </c>
    </row>
    <row r="909" spans="1:9" x14ac:dyDescent="0.15">
      <c r="A909" s="5">
        <v>908</v>
      </c>
      <c r="B909" s="6" t="s">
        <v>9</v>
      </c>
      <c r="C909" s="7">
        <v>1882</v>
      </c>
      <c r="D909" s="8">
        <v>45388</v>
      </c>
      <c r="E909" s="9" t="str">
        <f>+HYPERLINK("http://trademark.i-assist.jp/data/china/image_1882th/76139042.pdf","76139042")</f>
        <v>76139042</v>
      </c>
      <c r="F909" s="6" t="s">
        <v>2543</v>
      </c>
      <c r="G909" s="6" t="s">
        <v>2544</v>
      </c>
      <c r="H909" s="8" t="s">
        <v>2545</v>
      </c>
      <c r="I909" s="14">
        <v>45293</v>
      </c>
    </row>
    <row r="910" spans="1:9" x14ac:dyDescent="0.15">
      <c r="A910" s="5">
        <v>909</v>
      </c>
      <c r="B910" s="6" t="s">
        <v>9</v>
      </c>
      <c r="C910" s="7">
        <v>1882</v>
      </c>
      <c r="D910" s="8">
        <v>45388</v>
      </c>
      <c r="E910" s="9" t="str">
        <f>+HYPERLINK("http://trademark.i-assist.jp/data/china/image_1882th/76139320.pdf","76139320")</f>
        <v>76139320</v>
      </c>
      <c r="F910" s="6" t="s">
        <v>2546</v>
      </c>
      <c r="G910" s="6" t="s">
        <v>2547</v>
      </c>
      <c r="H910" s="8" t="s">
        <v>2548</v>
      </c>
      <c r="I910" s="14">
        <v>45293</v>
      </c>
    </row>
    <row r="911" spans="1:9" x14ac:dyDescent="0.15">
      <c r="A911" s="5">
        <v>910</v>
      </c>
      <c r="B911" s="6" t="s">
        <v>9</v>
      </c>
      <c r="C911" s="7">
        <v>1882</v>
      </c>
      <c r="D911" s="8">
        <v>45388</v>
      </c>
      <c r="E911" s="9" t="str">
        <f>+HYPERLINK("http://trademark.i-assist.jp/data/china/image_1882th/76139357.pdf","76139357")</f>
        <v>76139357</v>
      </c>
      <c r="F911" s="6" t="s">
        <v>2549</v>
      </c>
      <c r="G911" s="6" t="s">
        <v>2550</v>
      </c>
      <c r="H911" s="8" t="s">
        <v>2551</v>
      </c>
      <c r="I911" s="14">
        <v>45293</v>
      </c>
    </row>
    <row r="912" spans="1:9" x14ac:dyDescent="0.15">
      <c r="A912" s="5">
        <v>911</v>
      </c>
      <c r="B912" s="6" t="s">
        <v>9</v>
      </c>
      <c r="C912" s="7">
        <v>1882</v>
      </c>
      <c r="D912" s="8">
        <v>45388</v>
      </c>
      <c r="E912" s="9" t="str">
        <f>+HYPERLINK("http://trademark.i-assist.jp/data/china/image_1882th/76139364.pdf","76139364")</f>
        <v>76139364</v>
      </c>
      <c r="F912" s="6" t="s">
        <v>2552</v>
      </c>
      <c r="G912" s="6" t="s">
        <v>2553</v>
      </c>
      <c r="H912" s="8" t="s">
        <v>2554</v>
      </c>
      <c r="I912" s="14">
        <v>45293</v>
      </c>
    </row>
    <row r="913" spans="1:9" x14ac:dyDescent="0.15">
      <c r="A913" s="5">
        <v>912</v>
      </c>
      <c r="B913" s="6" t="s">
        <v>9</v>
      </c>
      <c r="C913" s="7">
        <v>1882</v>
      </c>
      <c r="D913" s="8">
        <v>45388</v>
      </c>
      <c r="E913" s="9" t="str">
        <f>+HYPERLINK("http://trademark.i-assist.jp/data/china/image_1882th/76139610.pdf","76139610")</f>
        <v>76139610</v>
      </c>
      <c r="F913" s="6" t="s">
        <v>2555</v>
      </c>
      <c r="G913" s="6" t="s">
        <v>2556</v>
      </c>
      <c r="H913" s="8" t="s">
        <v>2557</v>
      </c>
      <c r="I913" s="14">
        <v>45293</v>
      </c>
    </row>
    <row r="914" spans="1:9" x14ac:dyDescent="0.15">
      <c r="A914" s="5">
        <v>913</v>
      </c>
      <c r="B914" s="6" t="s">
        <v>9</v>
      </c>
      <c r="C914" s="7">
        <v>1882</v>
      </c>
      <c r="D914" s="8">
        <v>45388</v>
      </c>
      <c r="E914" s="9" t="str">
        <f>+HYPERLINK("http://trademark.i-assist.jp/data/china/image_1882th/76139786.pdf","76139786")</f>
        <v>76139786</v>
      </c>
      <c r="F914" s="6" t="s">
        <v>2558</v>
      </c>
      <c r="G914" s="6" t="s">
        <v>2559</v>
      </c>
      <c r="H914" s="8" t="s">
        <v>2560</v>
      </c>
      <c r="I914" s="14">
        <v>45293</v>
      </c>
    </row>
    <row r="915" spans="1:9" x14ac:dyDescent="0.15">
      <c r="A915" s="5">
        <v>914</v>
      </c>
      <c r="B915" s="6" t="s">
        <v>9</v>
      </c>
      <c r="C915" s="7">
        <v>1882</v>
      </c>
      <c r="D915" s="8">
        <v>45388</v>
      </c>
      <c r="E915" s="9" t="str">
        <f>+HYPERLINK("http://trademark.i-assist.jp/data/china/image_1882th/76140200.pdf","76140200")</f>
        <v>76140200</v>
      </c>
      <c r="F915" s="6" t="s">
        <v>2561</v>
      </c>
      <c r="G915" s="6" t="s">
        <v>2562</v>
      </c>
      <c r="H915" s="8" t="s">
        <v>2563</v>
      </c>
      <c r="I915" s="14">
        <v>45293</v>
      </c>
    </row>
    <row r="916" spans="1:9" x14ac:dyDescent="0.15">
      <c r="A916" s="5">
        <v>915</v>
      </c>
      <c r="B916" s="6" t="s">
        <v>9</v>
      </c>
      <c r="C916" s="7">
        <v>1882</v>
      </c>
      <c r="D916" s="8">
        <v>45388</v>
      </c>
      <c r="E916" s="9" t="str">
        <f>+HYPERLINK("http://trademark.i-assist.jp/data/china/image_1882th/76140285.pdf","76140285")</f>
        <v>76140285</v>
      </c>
      <c r="F916" s="6" t="s">
        <v>2564</v>
      </c>
      <c r="G916" s="6" t="s">
        <v>2565</v>
      </c>
      <c r="H916" s="8" t="s">
        <v>2566</v>
      </c>
      <c r="I916" s="14">
        <v>45293</v>
      </c>
    </row>
    <row r="917" spans="1:9" x14ac:dyDescent="0.15">
      <c r="A917" s="5">
        <v>916</v>
      </c>
      <c r="B917" s="6" t="s">
        <v>9</v>
      </c>
      <c r="C917" s="7">
        <v>1882</v>
      </c>
      <c r="D917" s="8">
        <v>45388</v>
      </c>
      <c r="E917" s="9" t="str">
        <f>+HYPERLINK("http://trademark.i-assist.jp/data/china/image_1882th/76140304.pdf","76140304")</f>
        <v>76140304</v>
      </c>
      <c r="F917" s="6" t="s">
        <v>26</v>
      </c>
      <c r="G917" s="6" t="s">
        <v>2567</v>
      </c>
      <c r="H917" s="8" t="s">
        <v>2568</v>
      </c>
      <c r="I917" s="14">
        <v>45293</v>
      </c>
    </row>
    <row r="918" spans="1:9" x14ac:dyDescent="0.15">
      <c r="A918" s="5">
        <v>917</v>
      </c>
      <c r="B918" s="6" t="s">
        <v>9</v>
      </c>
      <c r="C918" s="7">
        <v>1882</v>
      </c>
      <c r="D918" s="8">
        <v>45388</v>
      </c>
      <c r="E918" s="9" t="str">
        <f>+HYPERLINK("http://trademark.i-assist.jp/data/china/image_1882th/76140317.pdf","76140317")</f>
        <v>76140317</v>
      </c>
      <c r="F918" s="6" t="s">
        <v>2569</v>
      </c>
      <c r="G918" s="6" t="s">
        <v>2570</v>
      </c>
      <c r="H918" s="8" t="s">
        <v>2571</v>
      </c>
      <c r="I918" s="14">
        <v>45293</v>
      </c>
    </row>
    <row r="919" spans="1:9" x14ac:dyDescent="0.15">
      <c r="A919" s="5">
        <v>918</v>
      </c>
      <c r="B919" s="6" t="s">
        <v>9</v>
      </c>
      <c r="C919" s="7">
        <v>1882</v>
      </c>
      <c r="D919" s="8">
        <v>45388</v>
      </c>
      <c r="E919" s="9" t="str">
        <f>+HYPERLINK("http://trademark.i-assist.jp/data/china/image_1882th/76140396.pdf","76140396")</f>
        <v>76140396</v>
      </c>
      <c r="F919" s="6" t="s">
        <v>2572</v>
      </c>
      <c r="G919" s="6" t="s">
        <v>2573</v>
      </c>
      <c r="H919" s="8" t="s">
        <v>2574</v>
      </c>
      <c r="I919" s="14">
        <v>45293</v>
      </c>
    </row>
    <row r="920" spans="1:9" x14ac:dyDescent="0.15">
      <c r="A920" s="5">
        <v>919</v>
      </c>
      <c r="B920" s="6" t="s">
        <v>9</v>
      </c>
      <c r="C920" s="7">
        <v>1882</v>
      </c>
      <c r="D920" s="8">
        <v>45388</v>
      </c>
      <c r="E920" s="9" t="str">
        <f>+HYPERLINK("http://trademark.i-assist.jp/data/china/image_1882th/76140556.pdf","76140556")</f>
        <v>76140556</v>
      </c>
      <c r="F920" s="6" t="s">
        <v>26</v>
      </c>
      <c r="G920" s="6" t="s">
        <v>2575</v>
      </c>
      <c r="H920" s="8" t="s">
        <v>2576</v>
      </c>
      <c r="I920" s="14">
        <v>45293</v>
      </c>
    </row>
    <row r="921" spans="1:9" x14ac:dyDescent="0.15">
      <c r="A921" s="5">
        <v>920</v>
      </c>
      <c r="B921" s="6" t="s">
        <v>9</v>
      </c>
      <c r="C921" s="7">
        <v>1882</v>
      </c>
      <c r="D921" s="8">
        <v>45388</v>
      </c>
      <c r="E921" s="9" t="str">
        <f>+HYPERLINK("http://trademark.i-assist.jp/data/china/image_1882th/76140945.pdf","76140945")</f>
        <v>76140945</v>
      </c>
      <c r="F921" s="6" t="s">
        <v>2577</v>
      </c>
      <c r="G921" s="6" t="s">
        <v>2578</v>
      </c>
      <c r="H921" s="8" t="s">
        <v>2579</v>
      </c>
      <c r="I921" s="14">
        <v>45293</v>
      </c>
    </row>
    <row r="922" spans="1:9" x14ac:dyDescent="0.15">
      <c r="A922" s="5">
        <v>921</v>
      </c>
      <c r="B922" s="6" t="s">
        <v>9</v>
      </c>
      <c r="C922" s="7">
        <v>1882</v>
      </c>
      <c r="D922" s="8">
        <v>45388</v>
      </c>
      <c r="E922" s="9" t="str">
        <f>+HYPERLINK("http://trademark.i-assist.jp/data/china/image_1882th/76141059.pdf","76141059")</f>
        <v>76141059</v>
      </c>
      <c r="F922" s="6" t="s">
        <v>2580</v>
      </c>
      <c r="G922" s="6" t="s">
        <v>2581</v>
      </c>
      <c r="H922" s="8" t="s">
        <v>2582</v>
      </c>
      <c r="I922" s="14">
        <v>45293</v>
      </c>
    </row>
    <row r="923" spans="1:9" x14ac:dyDescent="0.15">
      <c r="A923" s="5">
        <v>922</v>
      </c>
      <c r="B923" s="6" t="s">
        <v>9</v>
      </c>
      <c r="C923" s="7">
        <v>1882</v>
      </c>
      <c r="D923" s="8">
        <v>45388</v>
      </c>
      <c r="E923" s="9" t="str">
        <f>+HYPERLINK("http://trademark.i-assist.jp/data/china/image_1882th/76141177.pdf","76141177")</f>
        <v>76141177</v>
      </c>
      <c r="F923" s="6" t="s">
        <v>2583</v>
      </c>
      <c r="G923" s="6" t="s">
        <v>2584</v>
      </c>
      <c r="H923" s="8" t="s">
        <v>2585</v>
      </c>
      <c r="I923" s="14">
        <v>45293</v>
      </c>
    </row>
    <row r="924" spans="1:9" x14ac:dyDescent="0.15">
      <c r="A924" s="5">
        <v>923</v>
      </c>
      <c r="B924" s="6" t="s">
        <v>9</v>
      </c>
      <c r="C924" s="7">
        <v>1882</v>
      </c>
      <c r="D924" s="8">
        <v>45388</v>
      </c>
      <c r="E924" s="9" t="str">
        <f>+HYPERLINK("http://trademark.i-assist.jp/data/china/image_1882th/76141179.pdf","76141179")</f>
        <v>76141179</v>
      </c>
      <c r="F924" s="6" t="s">
        <v>2586</v>
      </c>
      <c r="G924" s="6" t="s">
        <v>2587</v>
      </c>
      <c r="H924" s="8" t="s">
        <v>2588</v>
      </c>
      <c r="I924" s="14">
        <v>45293</v>
      </c>
    </row>
    <row r="925" spans="1:9" x14ac:dyDescent="0.15">
      <c r="A925" s="5">
        <v>924</v>
      </c>
      <c r="B925" s="6" t="s">
        <v>9</v>
      </c>
      <c r="C925" s="7">
        <v>1882</v>
      </c>
      <c r="D925" s="8">
        <v>45388</v>
      </c>
      <c r="E925" s="9" t="str">
        <f>+HYPERLINK("http://trademark.i-assist.jp/data/china/image_1882th/76141279.pdf","76141279")</f>
        <v>76141279</v>
      </c>
      <c r="F925" s="6" t="s">
        <v>2589</v>
      </c>
      <c r="G925" s="6" t="s">
        <v>2590</v>
      </c>
      <c r="H925" s="8" t="s">
        <v>2591</v>
      </c>
      <c r="I925" s="14">
        <v>45293</v>
      </c>
    </row>
    <row r="926" spans="1:9" x14ac:dyDescent="0.15">
      <c r="A926" s="5">
        <v>925</v>
      </c>
      <c r="B926" s="6" t="s">
        <v>9</v>
      </c>
      <c r="C926" s="7">
        <v>1882</v>
      </c>
      <c r="D926" s="8">
        <v>45388</v>
      </c>
      <c r="E926" s="9" t="str">
        <f>+HYPERLINK("http://trademark.i-assist.jp/data/china/image_1882th/76141327.pdf","76141327")</f>
        <v>76141327</v>
      </c>
      <c r="F926" s="6" t="s">
        <v>2592</v>
      </c>
      <c r="G926" s="6" t="s">
        <v>2593</v>
      </c>
      <c r="H926" s="8" t="s">
        <v>2594</v>
      </c>
      <c r="I926" s="14">
        <v>45293</v>
      </c>
    </row>
    <row r="927" spans="1:9" x14ac:dyDescent="0.15">
      <c r="A927" s="5">
        <v>926</v>
      </c>
      <c r="B927" s="6" t="s">
        <v>9</v>
      </c>
      <c r="C927" s="7">
        <v>1882</v>
      </c>
      <c r="D927" s="8">
        <v>45388</v>
      </c>
      <c r="E927" s="9" t="str">
        <f>+HYPERLINK("http://trademark.i-assist.jp/data/china/image_1882th/76141497.pdf","76141497")</f>
        <v>76141497</v>
      </c>
      <c r="F927" s="6" t="s">
        <v>2595</v>
      </c>
      <c r="G927" s="6" t="s">
        <v>2596</v>
      </c>
      <c r="H927" s="8" t="s">
        <v>2597</v>
      </c>
      <c r="I927" s="14">
        <v>45293</v>
      </c>
    </row>
    <row r="928" spans="1:9" x14ac:dyDescent="0.15">
      <c r="A928" s="5">
        <v>927</v>
      </c>
      <c r="B928" s="6" t="s">
        <v>9</v>
      </c>
      <c r="C928" s="7">
        <v>1882</v>
      </c>
      <c r="D928" s="8">
        <v>45388</v>
      </c>
      <c r="E928" s="9" t="str">
        <f>+HYPERLINK("http://trademark.i-assist.jp/data/china/image_1882th/76141925.pdf","76141925")</f>
        <v>76141925</v>
      </c>
      <c r="F928" s="6" t="s">
        <v>2598</v>
      </c>
      <c r="G928" s="6" t="s">
        <v>2599</v>
      </c>
      <c r="H928" s="8" t="s">
        <v>2600</v>
      </c>
      <c r="I928" s="14">
        <v>45293</v>
      </c>
    </row>
    <row r="929" spans="1:9" x14ac:dyDescent="0.15">
      <c r="A929" s="5">
        <v>928</v>
      </c>
      <c r="B929" s="6" t="s">
        <v>9</v>
      </c>
      <c r="C929" s="7">
        <v>1882</v>
      </c>
      <c r="D929" s="8">
        <v>45388</v>
      </c>
      <c r="E929" s="9" t="str">
        <f>+HYPERLINK("http://trademark.i-assist.jp/data/china/image_1882th/76141945.pdf","76141945")</f>
        <v>76141945</v>
      </c>
      <c r="F929" s="6" t="s">
        <v>2601</v>
      </c>
      <c r="G929" s="6" t="s">
        <v>2599</v>
      </c>
      <c r="H929" s="8" t="s">
        <v>2602</v>
      </c>
      <c r="I929" s="14">
        <v>45293</v>
      </c>
    </row>
    <row r="930" spans="1:9" x14ac:dyDescent="0.15">
      <c r="A930" s="5">
        <v>929</v>
      </c>
      <c r="B930" s="6" t="s">
        <v>9</v>
      </c>
      <c r="C930" s="7">
        <v>1882</v>
      </c>
      <c r="D930" s="8">
        <v>45388</v>
      </c>
      <c r="E930" s="9" t="str">
        <f>+HYPERLINK("http://trademark.i-assist.jp/data/china/image_1882th/76142493.pdf","76142493")</f>
        <v>76142493</v>
      </c>
      <c r="F930" s="6" t="s">
        <v>2603</v>
      </c>
      <c r="G930" s="6" t="s">
        <v>2604</v>
      </c>
      <c r="H930" s="8" t="s">
        <v>2605</v>
      </c>
      <c r="I930" s="14">
        <v>45293</v>
      </c>
    </row>
    <row r="931" spans="1:9" x14ac:dyDescent="0.15">
      <c r="A931" s="5">
        <v>930</v>
      </c>
      <c r="B931" s="6" t="s">
        <v>9</v>
      </c>
      <c r="C931" s="7">
        <v>1882</v>
      </c>
      <c r="D931" s="8">
        <v>45388</v>
      </c>
      <c r="E931" s="9" t="str">
        <f>+HYPERLINK("http://trademark.i-assist.jp/data/china/image_1882th/76142591.pdf","76142591")</f>
        <v>76142591</v>
      </c>
      <c r="F931" s="6" t="s">
        <v>2606</v>
      </c>
      <c r="G931" s="6" t="s">
        <v>2451</v>
      </c>
      <c r="H931" s="8" t="s">
        <v>2607</v>
      </c>
      <c r="I931" s="14">
        <v>45293</v>
      </c>
    </row>
    <row r="932" spans="1:9" x14ac:dyDescent="0.15">
      <c r="A932" s="5">
        <v>931</v>
      </c>
      <c r="B932" s="6" t="s">
        <v>9</v>
      </c>
      <c r="C932" s="7">
        <v>1882</v>
      </c>
      <c r="D932" s="8">
        <v>45388</v>
      </c>
      <c r="E932" s="9" t="str">
        <f>+HYPERLINK("http://trademark.i-assist.jp/data/china/image_1882th/76142947.pdf","76142947")</f>
        <v>76142947</v>
      </c>
      <c r="F932" s="6" t="s">
        <v>2608</v>
      </c>
      <c r="G932" s="6" t="s">
        <v>2609</v>
      </c>
      <c r="H932" s="8" t="s">
        <v>2610</v>
      </c>
      <c r="I932" s="14">
        <v>45293</v>
      </c>
    </row>
    <row r="933" spans="1:9" x14ac:dyDescent="0.15">
      <c r="A933" s="5">
        <v>932</v>
      </c>
      <c r="B933" s="6" t="s">
        <v>9</v>
      </c>
      <c r="C933" s="7">
        <v>1882</v>
      </c>
      <c r="D933" s="8">
        <v>45388</v>
      </c>
      <c r="E933" s="9" t="str">
        <f>+HYPERLINK("http://trademark.i-assist.jp/data/china/image_1882th/76143138.pdf","76143138")</f>
        <v>76143138</v>
      </c>
      <c r="F933" s="6" t="s">
        <v>26</v>
      </c>
      <c r="G933" s="6" t="s">
        <v>2611</v>
      </c>
      <c r="H933" s="8" t="s">
        <v>2612</v>
      </c>
      <c r="I933" s="14">
        <v>45293</v>
      </c>
    </row>
    <row r="934" spans="1:9" x14ac:dyDescent="0.15">
      <c r="A934" s="5">
        <v>933</v>
      </c>
      <c r="B934" s="6" t="s">
        <v>9</v>
      </c>
      <c r="C934" s="7">
        <v>1882</v>
      </c>
      <c r="D934" s="8">
        <v>45388</v>
      </c>
      <c r="E934" s="9" t="str">
        <f>+HYPERLINK("http://trademark.i-assist.jp/data/china/image_1882th/76143259.pdf","76143259")</f>
        <v>76143259</v>
      </c>
      <c r="F934" s="6" t="s">
        <v>2613</v>
      </c>
      <c r="G934" s="6" t="s">
        <v>2614</v>
      </c>
      <c r="H934" s="8" t="s">
        <v>2615</v>
      </c>
      <c r="I934" s="14">
        <v>45293</v>
      </c>
    </row>
    <row r="935" spans="1:9" x14ac:dyDescent="0.15">
      <c r="A935" s="5">
        <v>934</v>
      </c>
      <c r="B935" s="6" t="s">
        <v>9</v>
      </c>
      <c r="C935" s="7">
        <v>1882</v>
      </c>
      <c r="D935" s="8">
        <v>45388</v>
      </c>
      <c r="E935" s="9" t="str">
        <f>+HYPERLINK("http://trademark.i-assist.jp/data/china/image_1882th/76143420.pdf","76143420")</f>
        <v>76143420</v>
      </c>
      <c r="F935" s="6" t="s">
        <v>2616</v>
      </c>
      <c r="G935" s="6" t="s">
        <v>2617</v>
      </c>
      <c r="H935" s="8" t="s">
        <v>2618</v>
      </c>
      <c r="I935" s="14">
        <v>45293</v>
      </c>
    </row>
    <row r="936" spans="1:9" x14ac:dyDescent="0.15">
      <c r="A936" s="5">
        <v>935</v>
      </c>
      <c r="B936" s="6" t="s">
        <v>9</v>
      </c>
      <c r="C936" s="7">
        <v>1882</v>
      </c>
      <c r="D936" s="8">
        <v>45388</v>
      </c>
      <c r="E936" s="9" t="str">
        <f>+HYPERLINK("http://trademark.i-assist.jp/data/china/image_1882th/76143422.pdf","76143422")</f>
        <v>76143422</v>
      </c>
      <c r="F936" s="6" t="s">
        <v>2619</v>
      </c>
      <c r="G936" s="6" t="s">
        <v>2620</v>
      </c>
      <c r="H936" s="8" t="s">
        <v>2621</v>
      </c>
      <c r="I936" s="14">
        <v>45293</v>
      </c>
    </row>
    <row r="937" spans="1:9" x14ac:dyDescent="0.15">
      <c r="A937" s="5">
        <v>936</v>
      </c>
      <c r="B937" s="6" t="s">
        <v>9</v>
      </c>
      <c r="C937" s="7">
        <v>1882</v>
      </c>
      <c r="D937" s="8">
        <v>45388</v>
      </c>
      <c r="E937" s="9" t="str">
        <f>+HYPERLINK("http://trademark.i-assist.jp/data/china/image_1882th/76143535.pdf","76143535")</f>
        <v>76143535</v>
      </c>
      <c r="F937" s="6" t="s">
        <v>2622</v>
      </c>
      <c r="G937" s="6" t="s">
        <v>2623</v>
      </c>
      <c r="H937" s="8" t="s">
        <v>2624</v>
      </c>
      <c r="I937" s="14">
        <v>45293</v>
      </c>
    </row>
    <row r="938" spans="1:9" x14ac:dyDescent="0.15">
      <c r="A938" s="5">
        <v>937</v>
      </c>
      <c r="B938" s="6" t="s">
        <v>9</v>
      </c>
      <c r="C938" s="7">
        <v>1882</v>
      </c>
      <c r="D938" s="8">
        <v>45388</v>
      </c>
      <c r="E938" s="9" t="str">
        <f>+HYPERLINK("http://trademark.i-assist.jp/data/china/image_1882th/76143572.pdf","76143572")</f>
        <v>76143572</v>
      </c>
      <c r="F938" s="6" t="s">
        <v>2625</v>
      </c>
      <c r="G938" s="6" t="s">
        <v>2626</v>
      </c>
      <c r="H938" s="8" t="s">
        <v>2627</v>
      </c>
      <c r="I938" s="14">
        <v>45293</v>
      </c>
    </row>
    <row r="939" spans="1:9" x14ac:dyDescent="0.15">
      <c r="A939" s="5">
        <v>938</v>
      </c>
      <c r="B939" s="6" t="s">
        <v>9</v>
      </c>
      <c r="C939" s="7">
        <v>1882</v>
      </c>
      <c r="D939" s="8">
        <v>45388</v>
      </c>
      <c r="E939" s="9" t="str">
        <f>+HYPERLINK("http://trademark.i-assist.jp/data/china/image_1882th/76143661.pdf","76143661")</f>
        <v>76143661</v>
      </c>
      <c r="F939" s="6" t="s">
        <v>2628</v>
      </c>
      <c r="G939" s="6" t="s">
        <v>1509</v>
      </c>
      <c r="H939" s="8" t="s">
        <v>2629</v>
      </c>
      <c r="I939" s="14">
        <v>45293</v>
      </c>
    </row>
    <row r="940" spans="1:9" x14ac:dyDescent="0.15">
      <c r="A940" s="5">
        <v>939</v>
      </c>
      <c r="B940" s="6" t="s">
        <v>9</v>
      </c>
      <c r="C940" s="7">
        <v>1882</v>
      </c>
      <c r="D940" s="8">
        <v>45388</v>
      </c>
      <c r="E940" s="9" t="str">
        <f>+HYPERLINK("http://trademark.i-assist.jp/data/china/image_1882th/76143724.pdf","76143724")</f>
        <v>76143724</v>
      </c>
      <c r="F940" s="6" t="s">
        <v>2630</v>
      </c>
      <c r="G940" s="6" t="s">
        <v>2631</v>
      </c>
      <c r="H940" s="8" t="s">
        <v>2632</v>
      </c>
      <c r="I940" s="14">
        <v>45293</v>
      </c>
    </row>
    <row r="941" spans="1:9" x14ac:dyDescent="0.15">
      <c r="A941" s="5">
        <v>940</v>
      </c>
      <c r="B941" s="6" t="s">
        <v>9</v>
      </c>
      <c r="C941" s="7">
        <v>1882</v>
      </c>
      <c r="D941" s="8">
        <v>45388</v>
      </c>
      <c r="E941" s="9" t="str">
        <f>+HYPERLINK("http://trademark.i-assist.jp/data/china/image_1882th/76143968.pdf","76143968")</f>
        <v>76143968</v>
      </c>
      <c r="F941" s="6" t="s">
        <v>2633</v>
      </c>
      <c r="G941" s="6" t="s">
        <v>2634</v>
      </c>
      <c r="H941" s="8" t="s">
        <v>2635</v>
      </c>
      <c r="I941" s="14">
        <v>45293</v>
      </c>
    </row>
    <row r="942" spans="1:9" x14ac:dyDescent="0.15">
      <c r="A942" s="5">
        <v>941</v>
      </c>
      <c r="B942" s="6" t="s">
        <v>9</v>
      </c>
      <c r="C942" s="7">
        <v>1882</v>
      </c>
      <c r="D942" s="8">
        <v>45388</v>
      </c>
      <c r="E942" s="9" t="str">
        <f>+HYPERLINK("http://trademark.i-assist.jp/data/china/image_1882th/76144118.pdf","76144118")</f>
        <v>76144118</v>
      </c>
      <c r="F942" s="6" t="s">
        <v>2636</v>
      </c>
      <c r="G942" s="6" t="s">
        <v>2637</v>
      </c>
      <c r="H942" s="8" t="s">
        <v>2638</v>
      </c>
      <c r="I942" s="14">
        <v>45293</v>
      </c>
    </row>
    <row r="943" spans="1:9" x14ac:dyDescent="0.15">
      <c r="A943" s="5">
        <v>942</v>
      </c>
      <c r="B943" s="6" t="s">
        <v>9</v>
      </c>
      <c r="C943" s="7">
        <v>1882</v>
      </c>
      <c r="D943" s="8">
        <v>45388</v>
      </c>
      <c r="E943" s="9" t="str">
        <f>+HYPERLINK("http://trademark.i-assist.jp/data/china/image_1882th/76144242.pdf","76144242")</f>
        <v>76144242</v>
      </c>
      <c r="F943" s="6" t="s">
        <v>2639</v>
      </c>
      <c r="G943" s="6" t="s">
        <v>2640</v>
      </c>
      <c r="H943" s="8" t="s">
        <v>2641</v>
      </c>
      <c r="I943" s="14">
        <v>45293</v>
      </c>
    </row>
    <row r="944" spans="1:9" x14ac:dyDescent="0.15">
      <c r="A944" s="5">
        <v>943</v>
      </c>
      <c r="B944" s="6" t="s">
        <v>9</v>
      </c>
      <c r="C944" s="7">
        <v>1882</v>
      </c>
      <c r="D944" s="8">
        <v>45388</v>
      </c>
      <c r="E944" s="9" t="str">
        <f>+HYPERLINK("http://trademark.i-assist.jp/data/china/image_1882th/76144247.pdf","76144247")</f>
        <v>76144247</v>
      </c>
      <c r="F944" s="6" t="s">
        <v>2642</v>
      </c>
      <c r="G944" s="6" t="s">
        <v>2640</v>
      </c>
      <c r="H944" s="8" t="s">
        <v>2643</v>
      </c>
      <c r="I944" s="14">
        <v>45293</v>
      </c>
    </row>
    <row r="945" spans="1:9" x14ac:dyDescent="0.15">
      <c r="A945" s="5">
        <v>944</v>
      </c>
      <c r="B945" s="6" t="s">
        <v>9</v>
      </c>
      <c r="C945" s="7">
        <v>1882</v>
      </c>
      <c r="D945" s="8">
        <v>45388</v>
      </c>
      <c r="E945" s="9" t="str">
        <f>+HYPERLINK("http://trademark.i-assist.jp/data/china/image_1882th/76144813.pdf","76144813")</f>
        <v>76144813</v>
      </c>
      <c r="F945" s="6" t="s">
        <v>2644</v>
      </c>
      <c r="G945" s="6" t="s">
        <v>2645</v>
      </c>
      <c r="H945" s="8" t="s">
        <v>2646</v>
      </c>
      <c r="I945" s="14">
        <v>45293</v>
      </c>
    </row>
    <row r="946" spans="1:9" x14ac:dyDescent="0.15">
      <c r="A946" s="5">
        <v>945</v>
      </c>
      <c r="B946" s="6" t="s">
        <v>9</v>
      </c>
      <c r="C946" s="7">
        <v>1882</v>
      </c>
      <c r="D946" s="8">
        <v>45388</v>
      </c>
      <c r="E946" s="9" t="str">
        <f>+HYPERLINK("http://trademark.i-assist.jp/data/china/image_1882th/76145159.pdf","76145159")</f>
        <v>76145159</v>
      </c>
      <c r="F946" s="6" t="s">
        <v>2647</v>
      </c>
      <c r="G946" s="6" t="s">
        <v>2648</v>
      </c>
      <c r="H946" s="8" t="s">
        <v>2649</v>
      </c>
      <c r="I946" s="14">
        <v>45293</v>
      </c>
    </row>
    <row r="947" spans="1:9" x14ac:dyDescent="0.15">
      <c r="A947" s="5">
        <v>946</v>
      </c>
      <c r="B947" s="6" t="s">
        <v>9</v>
      </c>
      <c r="C947" s="7">
        <v>1882</v>
      </c>
      <c r="D947" s="8">
        <v>45388</v>
      </c>
      <c r="E947" s="9" t="str">
        <f>+HYPERLINK("http://trademark.i-assist.jp/data/china/image_1882th/76145189.pdf","76145189")</f>
        <v>76145189</v>
      </c>
      <c r="F947" s="6" t="s">
        <v>26</v>
      </c>
      <c r="G947" s="6" t="s">
        <v>2650</v>
      </c>
      <c r="H947" s="8" t="s">
        <v>2651</v>
      </c>
      <c r="I947" s="14">
        <v>45293</v>
      </c>
    </row>
    <row r="948" spans="1:9" x14ac:dyDescent="0.15">
      <c r="A948" s="5">
        <v>947</v>
      </c>
      <c r="B948" s="6" t="s">
        <v>9</v>
      </c>
      <c r="C948" s="7">
        <v>1882</v>
      </c>
      <c r="D948" s="8">
        <v>45388</v>
      </c>
      <c r="E948" s="9" t="str">
        <f>+HYPERLINK("http://trademark.i-assist.jp/data/china/image_1882th/76145245.pdf","76145245")</f>
        <v>76145245</v>
      </c>
      <c r="F948" s="6" t="s">
        <v>2652</v>
      </c>
      <c r="G948" s="6" t="s">
        <v>2653</v>
      </c>
      <c r="H948" s="8" t="s">
        <v>2654</v>
      </c>
      <c r="I948" s="14">
        <v>45293</v>
      </c>
    </row>
    <row r="949" spans="1:9" x14ac:dyDescent="0.15">
      <c r="A949" s="5">
        <v>948</v>
      </c>
      <c r="B949" s="6" t="s">
        <v>9</v>
      </c>
      <c r="C949" s="7">
        <v>1882</v>
      </c>
      <c r="D949" s="8">
        <v>45388</v>
      </c>
      <c r="E949" s="9" t="str">
        <f>+HYPERLINK("http://trademark.i-assist.jp/data/china/image_1882th/76145256.pdf","76145256")</f>
        <v>76145256</v>
      </c>
      <c r="F949" s="6" t="s">
        <v>2655</v>
      </c>
      <c r="G949" s="6" t="s">
        <v>2656</v>
      </c>
      <c r="H949" s="8" t="s">
        <v>2657</v>
      </c>
      <c r="I949" s="14">
        <v>45293</v>
      </c>
    </row>
    <row r="950" spans="1:9" x14ac:dyDescent="0.15">
      <c r="A950" s="5">
        <v>949</v>
      </c>
      <c r="B950" s="6" t="s">
        <v>9</v>
      </c>
      <c r="C950" s="7">
        <v>1882</v>
      </c>
      <c r="D950" s="8">
        <v>45388</v>
      </c>
      <c r="E950" s="9" t="str">
        <f>+HYPERLINK("http://trademark.i-assist.jp/data/china/image_1882th/76145374.pdf","76145374")</f>
        <v>76145374</v>
      </c>
      <c r="F950" s="6" t="s">
        <v>26</v>
      </c>
      <c r="G950" s="6" t="s">
        <v>2658</v>
      </c>
      <c r="H950" s="8" t="s">
        <v>2659</v>
      </c>
      <c r="I950" s="14">
        <v>45293</v>
      </c>
    </row>
    <row r="951" spans="1:9" x14ac:dyDescent="0.15">
      <c r="A951" s="5">
        <v>950</v>
      </c>
      <c r="B951" s="6" t="s">
        <v>9</v>
      </c>
      <c r="C951" s="7">
        <v>1882</v>
      </c>
      <c r="D951" s="8">
        <v>45388</v>
      </c>
      <c r="E951" s="9" t="str">
        <f>+HYPERLINK("http://trademark.i-assist.jp/data/china/image_1882th/76145404.pdf","76145404")</f>
        <v>76145404</v>
      </c>
      <c r="F951" s="6" t="s">
        <v>2660</v>
      </c>
      <c r="G951" s="6" t="s">
        <v>2640</v>
      </c>
      <c r="H951" s="8" t="s">
        <v>2661</v>
      </c>
      <c r="I951" s="14">
        <v>45293</v>
      </c>
    </row>
    <row r="952" spans="1:9" x14ac:dyDescent="0.15">
      <c r="A952" s="5">
        <v>951</v>
      </c>
      <c r="B952" s="6" t="s">
        <v>9</v>
      </c>
      <c r="C952" s="7">
        <v>1882</v>
      </c>
      <c r="D952" s="8">
        <v>45388</v>
      </c>
      <c r="E952" s="9" t="str">
        <f>+HYPERLINK("http://trademark.i-assist.jp/data/china/image_1882th/76145810.pdf","76145810")</f>
        <v>76145810</v>
      </c>
      <c r="F952" s="6" t="s">
        <v>2662</v>
      </c>
      <c r="G952" s="6" t="s">
        <v>2663</v>
      </c>
      <c r="H952" s="8" t="s">
        <v>2664</v>
      </c>
      <c r="I952" s="14">
        <v>45293</v>
      </c>
    </row>
    <row r="953" spans="1:9" x14ac:dyDescent="0.15">
      <c r="A953" s="5">
        <v>952</v>
      </c>
      <c r="B953" s="6" t="s">
        <v>9</v>
      </c>
      <c r="C953" s="7">
        <v>1882</v>
      </c>
      <c r="D953" s="8">
        <v>45388</v>
      </c>
      <c r="E953" s="9" t="str">
        <f>+HYPERLINK("http://trademark.i-assist.jp/data/china/image_1882th/76146644.pdf","76146644")</f>
        <v>76146644</v>
      </c>
      <c r="F953" s="6" t="s">
        <v>2665</v>
      </c>
      <c r="G953" s="6" t="s">
        <v>2666</v>
      </c>
      <c r="H953" s="8" t="s">
        <v>2667</v>
      </c>
      <c r="I953" s="14">
        <v>45293</v>
      </c>
    </row>
    <row r="954" spans="1:9" x14ac:dyDescent="0.15">
      <c r="A954" s="5">
        <v>953</v>
      </c>
      <c r="B954" s="6" t="s">
        <v>9</v>
      </c>
      <c r="C954" s="7">
        <v>1882</v>
      </c>
      <c r="D954" s="8">
        <v>45388</v>
      </c>
      <c r="E954" s="9" t="str">
        <f>+HYPERLINK("http://trademark.i-assist.jp/data/china/image_1882th/76147064.pdf","76147064")</f>
        <v>76147064</v>
      </c>
      <c r="F954" s="6" t="s">
        <v>2668</v>
      </c>
      <c r="G954" s="6" t="s">
        <v>2669</v>
      </c>
      <c r="H954" s="8" t="s">
        <v>2670</v>
      </c>
      <c r="I954" s="14">
        <v>45293</v>
      </c>
    </row>
    <row r="955" spans="1:9" x14ac:dyDescent="0.15">
      <c r="A955" s="5">
        <v>954</v>
      </c>
      <c r="B955" s="6" t="s">
        <v>9</v>
      </c>
      <c r="C955" s="7">
        <v>1882</v>
      </c>
      <c r="D955" s="8">
        <v>45388</v>
      </c>
      <c r="E955" s="9" t="str">
        <f>+HYPERLINK("http://trademark.i-assist.jp/data/china/image_1882th/76147382.pdf","76147382")</f>
        <v>76147382</v>
      </c>
      <c r="F955" s="6" t="s">
        <v>2671</v>
      </c>
      <c r="G955" s="6" t="s">
        <v>2451</v>
      </c>
      <c r="H955" s="8" t="s">
        <v>2672</v>
      </c>
      <c r="I955" s="14">
        <v>45293</v>
      </c>
    </row>
    <row r="956" spans="1:9" x14ac:dyDescent="0.15">
      <c r="A956" s="5">
        <v>955</v>
      </c>
      <c r="B956" s="6" t="s">
        <v>9</v>
      </c>
      <c r="C956" s="7">
        <v>1882</v>
      </c>
      <c r="D956" s="8">
        <v>45388</v>
      </c>
      <c r="E956" s="9" t="str">
        <f>+HYPERLINK("http://trademark.i-assist.jp/data/china/image_1882th/76147399.pdf","76147399")</f>
        <v>76147399</v>
      </c>
      <c r="F956" s="6" t="s">
        <v>2673</v>
      </c>
      <c r="G956" s="6" t="s">
        <v>2451</v>
      </c>
      <c r="H956" s="8" t="s">
        <v>2674</v>
      </c>
      <c r="I956" s="14">
        <v>45293</v>
      </c>
    </row>
    <row r="957" spans="1:9" x14ac:dyDescent="0.15">
      <c r="A957" s="5">
        <v>956</v>
      </c>
      <c r="B957" s="6" t="s">
        <v>9</v>
      </c>
      <c r="C957" s="7">
        <v>1882</v>
      </c>
      <c r="D957" s="8">
        <v>45388</v>
      </c>
      <c r="E957" s="9" t="str">
        <f>+HYPERLINK("http://trademark.i-assist.jp/data/china/image_1882th/76147402.pdf","76147402")</f>
        <v>76147402</v>
      </c>
      <c r="F957" s="6" t="s">
        <v>2675</v>
      </c>
      <c r="G957" s="6" t="s">
        <v>2676</v>
      </c>
      <c r="H957" s="8" t="s">
        <v>2677</v>
      </c>
      <c r="I957" s="14">
        <v>45293</v>
      </c>
    </row>
    <row r="958" spans="1:9" x14ac:dyDescent="0.15">
      <c r="A958" s="5">
        <v>957</v>
      </c>
      <c r="B958" s="6" t="s">
        <v>9</v>
      </c>
      <c r="C958" s="7">
        <v>1882</v>
      </c>
      <c r="D958" s="8">
        <v>45388</v>
      </c>
      <c r="E958" s="9" t="str">
        <f>+HYPERLINK("http://trademark.i-assist.jp/data/china/image_1882th/76147403.pdf","76147403")</f>
        <v>76147403</v>
      </c>
      <c r="F958" s="6" t="s">
        <v>2678</v>
      </c>
      <c r="G958" s="6" t="s">
        <v>2679</v>
      </c>
      <c r="H958" s="8" t="s">
        <v>2680</v>
      </c>
      <c r="I958" s="14">
        <v>45293</v>
      </c>
    </row>
    <row r="959" spans="1:9" x14ac:dyDescent="0.15">
      <c r="A959" s="5">
        <v>958</v>
      </c>
      <c r="B959" s="6" t="s">
        <v>9</v>
      </c>
      <c r="C959" s="7">
        <v>1882</v>
      </c>
      <c r="D959" s="8">
        <v>45388</v>
      </c>
      <c r="E959" s="9" t="str">
        <f>+HYPERLINK("http://trademark.i-assist.jp/data/china/image_1882th/76147509.pdf","76147509")</f>
        <v>76147509</v>
      </c>
      <c r="F959" s="6" t="s">
        <v>2681</v>
      </c>
      <c r="G959" s="6" t="s">
        <v>2682</v>
      </c>
      <c r="H959" s="8" t="s">
        <v>2683</v>
      </c>
      <c r="I959" s="14">
        <v>45293</v>
      </c>
    </row>
    <row r="960" spans="1:9" x14ac:dyDescent="0.15">
      <c r="A960" s="5">
        <v>959</v>
      </c>
      <c r="B960" s="6" t="s">
        <v>9</v>
      </c>
      <c r="C960" s="7">
        <v>1882</v>
      </c>
      <c r="D960" s="8">
        <v>45388</v>
      </c>
      <c r="E960" s="9" t="str">
        <f>+HYPERLINK("http://trademark.i-assist.jp/data/china/image_1882th/76148158.pdf","76148158")</f>
        <v>76148158</v>
      </c>
      <c r="F960" s="6" t="s">
        <v>2684</v>
      </c>
      <c r="G960" s="6" t="s">
        <v>2685</v>
      </c>
      <c r="H960" s="8" t="s">
        <v>2686</v>
      </c>
      <c r="I960" s="14">
        <v>45293</v>
      </c>
    </row>
    <row r="961" spans="1:9" x14ac:dyDescent="0.15">
      <c r="A961" s="5">
        <v>960</v>
      </c>
      <c r="B961" s="6" t="s">
        <v>9</v>
      </c>
      <c r="C961" s="7">
        <v>1882</v>
      </c>
      <c r="D961" s="8">
        <v>45388</v>
      </c>
      <c r="E961" s="9" t="str">
        <f>+HYPERLINK("http://trademark.i-assist.jp/data/china/image_1882th/76148599.pdf","76148599")</f>
        <v>76148599</v>
      </c>
      <c r="F961" s="6" t="s">
        <v>2687</v>
      </c>
      <c r="G961" s="6" t="s">
        <v>2688</v>
      </c>
      <c r="H961" s="8" t="s">
        <v>2689</v>
      </c>
      <c r="I961" s="14">
        <v>45293</v>
      </c>
    </row>
    <row r="962" spans="1:9" x14ac:dyDescent="0.15">
      <c r="A962" s="5">
        <v>961</v>
      </c>
      <c r="B962" s="6" t="s">
        <v>9</v>
      </c>
      <c r="C962" s="7">
        <v>1882</v>
      </c>
      <c r="D962" s="8">
        <v>45388</v>
      </c>
      <c r="E962" s="9" t="str">
        <f>+HYPERLINK("http://trademark.i-assist.jp/data/china/image_1882th/76148781.pdf","76148781")</f>
        <v>76148781</v>
      </c>
      <c r="F962" s="6" t="s">
        <v>2690</v>
      </c>
      <c r="G962" s="6" t="s">
        <v>2691</v>
      </c>
      <c r="H962" s="8" t="s">
        <v>2692</v>
      </c>
      <c r="I962" s="14">
        <v>45293</v>
      </c>
    </row>
    <row r="963" spans="1:9" x14ac:dyDescent="0.15">
      <c r="A963" s="5">
        <v>962</v>
      </c>
      <c r="B963" s="6" t="s">
        <v>9</v>
      </c>
      <c r="C963" s="7">
        <v>1882</v>
      </c>
      <c r="D963" s="8">
        <v>45388</v>
      </c>
      <c r="E963" s="9" t="str">
        <f>+HYPERLINK("http://trademark.i-assist.jp/data/china/image_1882th/76148983.pdf","76148983")</f>
        <v>76148983</v>
      </c>
      <c r="F963" s="6" t="s">
        <v>2693</v>
      </c>
      <c r="G963" s="6" t="s">
        <v>2590</v>
      </c>
      <c r="H963" s="8" t="s">
        <v>2694</v>
      </c>
      <c r="I963" s="14">
        <v>45293</v>
      </c>
    </row>
    <row r="964" spans="1:9" x14ac:dyDescent="0.15">
      <c r="A964" s="5">
        <v>963</v>
      </c>
      <c r="B964" s="6" t="s">
        <v>9</v>
      </c>
      <c r="C964" s="7">
        <v>1882</v>
      </c>
      <c r="D964" s="8">
        <v>45388</v>
      </c>
      <c r="E964" s="9" t="str">
        <f>+HYPERLINK("http://trademark.i-assist.jp/data/china/image_1882th/76149058.pdf","76149058")</f>
        <v>76149058</v>
      </c>
      <c r="F964" s="6" t="s">
        <v>2695</v>
      </c>
      <c r="G964" s="6" t="s">
        <v>2696</v>
      </c>
      <c r="H964" s="8" t="s">
        <v>2697</v>
      </c>
      <c r="I964" s="14">
        <v>45293</v>
      </c>
    </row>
    <row r="965" spans="1:9" x14ac:dyDescent="0.15">
      <c r="A965" s="5">
        <v>964</v>
      </c>
      <c r="B965" s="6" t="s">
        <v>9</v>
      </c>
      <c r="C965" s="7">
        <v>1882</v>
      </c>
      <c r="D965" s="8">
        <v>45388</v>
      </c>
      <c r="E965" s="9" t="str">
        <f>+HYPERLINK("http://trademark.i-assist.jp/data/china/image_1882th/76149261.pdf","76149261")</f>
        <v>76149261</v>
      </c>
      <c r="F965" s="6" t="s">
        <v>2698</v>
      </c>
      <c r="G965" s="6" t="s">
        <v>2699</v>
      </c>
      <c r="H965" s="8" t="s">
        <v>2700</v>
      </c>
      <c r="I965" s="14">
        <v>45293</v>
      </c>
    </row>
    <row r="966" spans="1:9" x14ac:dyDescent="0.15">
      <c r="A966" s="5">
        <v>965</v>
      </c>
      <c r="B966" s="6" t="s">
        <v>9</v>
      </c>
      <c r="C966" s="7">
        <v>1882</v>
      </c>
      <c r="D966" s="8">
        <v>45388</v>
      </c>
      <c r="E966" s="9" t="str">
        <f>+HYPERLINK("http://trademark.i-assist.jp/data/china/image_1882th/76149649.pdf","76149649")</f>
        <v>76149649</v>
      </c>
      <c r="F966" s="6" t="s">
        <v>2701</v>
      </c>
      <c r="G966" s="6" t="s">
        <v>2285</v>
      </c>
      <c r="H966" s="8" t="s">
        <v>2702</v>
      </c>
      <c r="I966" s="14">
        <v>45293</v>
      </c>
    </row>
    <row r="967" spans="1:9" x14ac:dyDescent="0.15">
      <c r="A967" s="5">
        <v>966</v>
      </c>
      <c r="B967" s="6" t="s">
        <v>9</v>
      </c>
      <c r="C967" s="7">
        <v>1882</v>
      </c>
      <c r="D967" s="8">
        <v>45388</v>
      </c>
      <c r="E967" s="9" t="str">
        <f>+HYPERLINK("http://trademark.i-assist.jp/data/china/image_1882th/76149667.pdf","76149667")</f>
        <v>76149667</v>
      </c>
      <c r="F967" s="6" t="s">
        <v>2703</v>
      </c>
      <c r="G967" s="6" t="s">
        <v>2451</v>
      </c>
      <c r="H967" s="8" t="s">
        <v>2704</v>
      </c>
      <c r="I967" s="14">
        <v>45293</v>
      </c>
    </row>
    <row r="968" spans="1:9" x14ac:dyDescent="0.15">
      <c r="A968" s="5">
        <v>967</v>
      </c>
      <c r="B968" s="6" t="s">
        <v>9</v>
      </c>
      <c r="C968" s="7">
        <v>1882</v>
      </c>
      <c r="D968" s="8">
        <v>45388</v>
      </c>
      <c r="E968" s="9" t="str">
        <f>+HYPERLINK("http://trademark.i-assist.jp/data/china/image_1882th/76150076.pdf","76150076")</f>
        <v>76150076</v>
      </c>
      <c r="F968" s="6" t="s">
        <v>2705</v>
      </c>
      <c r="G968" s="6" t="s">
        <v>2706</v>
      </c>
      <c r="H968" s="8" t="s">
        <v>2707</v>
      </c>
      <c r="I968" s="14">
        <v>45293</v>
      </c>
    </row>
    <row r="969" spans="1:9" x14ac:dyDescent="0.15">
      <c r="A969" s="5">
        <v>968</v>
      </c>
      <c r="B969" s="6" t="s">
        <v>9</v>
      </c>
      <c r="C969" s="7">
        <v>1882</v>
      </c>
      <c r="D969" s="8">
        <v>45388</v>
      </c>
      <c r="E969" s="9" t="str">
        <f>+HYPERLINK("http://trademark.i-assist.jp/data/china/image_1882th/76150446.pdf","76150446")</f>
        <v>76150446</v>
      </c>
      <c r="F969" s="6" t="s">
        <v>2708</v>
      </c>
      <c r="G969" s="6" t="s">
        <v>2709</v>
      </c>
      <c r="H969" s="8" t="s">
        <v>2710</v>
      </c>
      <c r="I969" s="14">
        <v>45293</v>
      </c>
    </row>
    <row r="970" spans="1:9" x14ac:dyDescent="0.15">
      <c r="A970" s="5">
        <v>969</v>
      </c>
      <c r="B970" s="6" t="s">
        <v>9</v>
      </c>
      <c r="C970" s="7">
        <v>1882</v>
      </c>
      <c r="D970" s="8">
        <v>45388</v>
      </c>
      <c r="E970" s="9" t="str">
        <f>+HYPERLINK("http://trademark.i-assist.jp/data/china/image_1882th/76150533.pdf","76150533")</f>
        <v>76150533</v>
      </c>
      <c r="F970" s="6" t="s">
        <v>2711</v>
      </c>
      <c r="G970" s="6" t="s">
        <v>2712</v>
      </c>
      <c r="H970" s="8" t="s">
        <v>2713</v>
      </c>
      <c r="I970" s="14">
        <v>45293</v>
      </c>
    </row>
    <row r="971" spans="1:9" x14ac:dyDescent="0.15">
      <c r="A971" s="5">
        <v>970</v>
      </c>
      <c r="B971" s="6" t="s">
        <v>9</v>
      </c>
      <c r="C971" s="7">
        <v>1882</v>
      </c>
      <c r="D971" s="8">
        <v>45388</v>
      </c>
      <c r="E971" s="9" t="str">
        <f>+HYPERLINK("http://trademark.i-assist.jp/data/china/image_1882th/76151123.pdf","76151123")</f>
        <v>76151123</v>
      </c>
      <c r="F971" s="6" t="s">
        <v>2714</v>
      </c>
      <c r="G971" s="6" t="s">
        <v>2715</v>
      </c>
      <c r="H971" s="8" t="s">
        <v>2716</v>
      </c>
      <c r="I971" s="14">
        <v>45293</v>
      </c>
    </row>
    <row r="972" spans="1:9" x14ac:dyDescent="0.15">
      <c r="A972" s="5">
        <v>971</v>
      </c>
      <c r="B972" s="6" t="s">
        <v>9</v>
      </c>
      <c r="C972" s="7">
        <v>1882</v>
      </c>
      <c r="D972" s="8">
        <v>45388</v>
      </c>
      <c r="E972" s="9" t="str">
        <f>+HYPERLINK("http://trademark.i-assist.jp/data/china/image_1882th/76151254.pdf","76151254")</f>
        <v>76151254</v>
      </c>
      <c r="F972" s="6" t="s">
        <v>2717</v>
      </c>
      <c r="G972" s="6" t="s">
        <v>2718</v>
      </c>
      <c r="H972" s="8" t="s">
        <v>2719</v>
      </c>
      <c r="I972" s="14">
        <v>45293</v>
      </c>
    </row>
    <row r="973" spans="1:9" x14ac:dyDescent="0.15">
      <c r="A973" s="5">
        <v>972</v>
      </c>
      <c r="B973" s="6" t="s">
        <v>9</v>
      </c>
      <c r="C973" s="7">
        <v>1882</v>
      </c>
      <c r="D973" s="8">
        <v>45388</v>
      </c>
      <c r="E973" s="9" t="str">
        <f>+HYPERLINK("http://trademark.i-assist.jp/data/china/image_1882th/76151362.pdf","76151362")</f>
        <v>76151362</v>
      </c>
      <c r="F973" s="6" t="s">
        <v>2720</v>
      </c>
      <c r="G973" s="6" t="s">
        <v>2721</v>
      </c>
      <c r="H973" s="8" t="s">
        <v>2722</v>
      </c>
      <c r="I973" s="14">
        <v>45293</v>
      </c>
    </row>
    <row r="974" spans="1:9" x14ac:dyDescent="0.15">
      <c r="A974" s="5">
        <v>973</v>
      </c>
      <c r="B974" s="6" t="s">
        <v>9</v>
      </c>
      <c r="C974" s="7">
        <v>1882</v>
      </c>
      <c r="D974" s="8">
        <v>45388</v>
      </c>
      <c r="E974" s="9" t="str">
        <f>+HYPERLINK("http://trademark.i-assist.jp/data/china/image_1882th/76151580.pdf","76151580")</f>
        <v>76151580</v>
      </c>
      <c r="F974" s="6" t="s">
        <v>2723</v>
      </c>
      <c r="G974" s="6" t="s">
        <v>2723</v>
      </c>
      <c r="H974" s="8" t="s">
        <v>2724</v>
      </c>
      <c r="I974" s="14">
        <v>45293</v>
      </c>
    </row>
    <row r="975" spans="1:9" x14ac:dyDescent="0.15">
      <c r="A975" s="5">
        <v>974</v>
      </c>
      <c r="B975" s="6" t="s">
        <v>9</v>
      </c>
      <c r="C975" s="7">
        <v>1882</v>
      </c>
      <c r="D975" s="8">
        <v>45388</v>
      </c>
      <c r="E975" s="9" t="str">
        <f>+HYPERLINK("http://trademark.i-assist.jp/data/china/image_1882th/76151858.pdf","76151858")</f>
        <v>76151858</v>
      </c>
      <c r="F975" s="6" t="s">
        <v>2725</v>
      </c>
      <c r="G975" s="6" t="s">
        <v>2496</v>
      </c>
      <c r="H975" s="8" t="s">
        <v>2726</v>
      </c>
      <c r="I975" s="14">
        <v>45293</v>
      </c>
    </row>
    <row r="976" spans="1:9" x14ac:dyDescent="0.15">
      <c r="A976" s="5">
        <v>975</v>
      </c>
      <c r="B976" s="6" t="s">
        <v>9</v>
      </c>
      <c r="C976" s="7">
        <v>1882</v>
      </c>
      <c r="D976" s="8">
        <v>45388</v>
      </c>
      <c r="E976" s="9" t="str">
        <f>+HYPERLINK("http://trademark.i-assist.jp/data/china/image_1882th/76152137.pdf","76152137")</f>
        <v>76152137</v>
      </c>
      <c r="F976" s="6" t="s">
        <v>2727</v>
      </c>
      <c r="G976" s="6" t="s">
        <v>2620</v>
      </c>
      <c r="H976" s="8" t="s">
        <v>2728</v>
      </c>
      <c r="I976" s="14">
        <v>45293</v>
      </c>
    </row>
    <row r="977" spans="1:9" x14ac:dyDescent="0.15">
      <c r="A977" s="5">
        <v>976</v>
      </c>
      <c r="B977" s="6" t="s">
        <v>9</v>
      </c>
      <c r="C977" s="7">
        <v>1882</v>
      </c>
      <c r="D977" s="8">
        <v>45388</v>
      </c>
      <c r="E977" s="9" t="str">
        <f>+HYPERLINK("http://trademark.i-assist.jp/data/china/image_1882th/76152226.pdf","76152226")</f>
        <v>76152226</v>
      </c>
      <c r="F977" s="6" t="s">
        <v>2729</v>
      </c>
      <c r="G977" s="6" t="s">
        <v>2730</v>
      </c>
      <c r="H977" s="8" t="s">
        <v>2731</v>
      </c>
      <c r="I977" s="14">
        <v>45293</v>
      </c>
    </row>
    <row r="978" spans="1:9" x14ac:dyDescent="0.15">
      <c r="A978" s="5">
        <v>977</v>
      </c>
      <c r="B978" s="6" t="s">
        <v>9</v>
      </c>
      <c r="C978" s="7">
        <v>1882</v>
      </c>
      <c r="D978" s="8">
        <v>45388</v>
      </c>
      <c r="E978" s="9" t="str">
        <f>+HYPERLINK("http://trademark.i-assist.jp/data/china/image_1882th/76152442.pdf","76152442")</f>
        <v>76152442</v>
      </c>
      <c r="F978" s="6" t="s">
        <v>2732</v>
      </c>
      <c r="G978" s="6" t="s">
        <v>2733</v>
      </c>
      <c r="H978" s="8" t="s">
        <v>2734</v>
      </c>
      <c r="I978" s="14">
        <v>45293</v>
      </c>
    </row>
    <row r="979" spans="1:9" x14ac:dyDescent="0.15">
      <c r="A979" s="5">
        <v>978</v>
      </c>
      <c r="B979" s="6" t="s">
        <v>9</v>
      </c>
      <c r="C979" s="7">
        <v>1882</v>
      </c>
      <c r="D979" s="8">
        <v>45388</v>
      </c>
      <c r="E979" s="9" t="str">
        <f>+HYPERLINK("http://trademark.i-assist.jp/data/china/image_1882th/76152654.pdf","76152654")</f>
        <v>76152654</v>
      </c>
      <c r="F979" s="6" t="s">
        <v>2735</v>
      </c>
      <c r="G979" s="6" t="s">
        <v>2736</v>
      </c>
      <c r="H979" s="8" t="s">
        <v>2737</v>
      </c>
      <c r="I979" s="14">
        <v>45293</v>
      </c>
    </row>
    <row r="980" spans="1:9" x14ac:dyDescent="0.15">
      <c r="A980" s="5">
        <v>979</v>
      </c>
      <c r="B980" s="6" t="s">
        <v>9</v>
      </c>
      <c r="C980" s="7">
        <v>1882</v>
      </c>
      <c r="D980" s="8">
        <v>45388</v>
      </c>
      <c r="E980" s="9" t="str">
        <f>+HYPERLINK("http://trademark.i-assist.jp/data/china/image_1882th/76152742.pdf","76152742")</f>
        <v>76152742</v>
      </c>
      <c r="F980" s="6" t="s">
        <v>2738</v>
      </c>
      <c r="G980" s="6" t="s">
        <v>1482</v>
      </c>
      <c r="H980" s="8" t="s">
        <v>2739</v>
      </c>
      <c r="I980" s="14">
        <v>45293</v>
      </c>
    </row>
    <row r="981" spans="1:9" x14ac:dyDescent="0.15">
      <c r="A981" s="5">
        <v>980</v>
      </c>
      <c r="B981" s="6" t="s">
        <v>9</v>
      </c>
      <c r="C981" s="7">
        <v>1882</v>
      </c>
      <c r="D981" s="8">
        <v>45388</v>
      </c>
      <c r="E981" s="9" t="str">
        <f>+HYPERLINK("http://trademark.i-assist.jp/data/china/image_1882th/76153026.pdf","76153026")</f>
        <v>76153026</v>
      </c>
      <c r="F981" s="6" t="s">
        <v>2740</v>
      </c>
      <c r="G981" s="6" t="s">
        <v>2741</v>
      </c>
      <c r="H981" s="8" t="s">
        <v>2742</v>
      </c>
      <c r="I981" s="14">
        <v>45293</v>
      </c>
    </row>
    <row r="982" spans="1:9" x14ac:dyDescent="0.15">
      <c r="A982" s="5">
        <v>981</v>
      </c>
      <c r="B982" s="6" t="s">
        <v>9</v>
      </c>
      <c r="C982" s="7">
        <v>1882</v>
      </c>
      <c r="D982" s="8">
        <v>45388</v>
      </c>
      <c r="E982" s="9" t="str">
        <f>+HYPERLINK("http://trademark.i-assist.jp/data/china/image_1882th/76153044.pdf","76153044")</f>
        <v>76153044</v>
      </c>
      <c r="F982" s="6" t="s">
        <v>2743</v>
      </c>
      <c r="G982" s="6" t="s">
        <v>2744</v>
      </c>
      <c r="H982" s="8" t="s">
        <v>2745</v>
      </c>
      <c r="I982" s="14">
        <v>45293</v>
      </c>
    </row>
    <row r="983" spans="1:9" x14ac:dyDescent="0.15">
      <c r="A983" s="5">
        <v>982</v>
      </c>
      <c r="B983" s="6" t="s">
        <v>9</v>
      </c>
      <c r="C983" s="7">
        <v>1882</v>
      </c>
      <c r="D983" s="8">
        <v>45388</v>
      </c>
      <c r="E983" s="9" t="str">
        <f>+HYPERLINK("http://trademark.i-assist.jp/data/china/image_1882th/76153445.pdf","76153445")</f>
        <v>76153445</v>
      </c>
      <c r="F983" s="6" t="s">
        <v>2746</v>
      </c>
      <c r="G983" s="6" t="s">
        <v>2640</v>
      </c>
      <c r="H983" s="8" t="s">
        <v>2747</v>
      </c>
      <c r="I983" s="14">
        <v>45293</v>
      </c>
    </row>
    <row r="984" spans="1:9" x14ac:dyDescent="0.15">
      <c r="A984" s="5">
        <v>983</v>
      </c>
      <c r="B984" s="6" t="s">
        <v>9</v>
      </c>
      <c r="C984" s="7">
        <v>1882</v>
      </c>
      <c r="D984" s="8">
        <v>45388</v>
      </c>
      <c r="E984" s="9" t="str">
        <f>+HYPERLINK("http://trademark.i-assist.jp/data/china/image_1882th/76153642.pdf","76153642")</f>
        <v>76153642</v>
      </c>
      <c r="F984" s="6" t="s">
        <v>2748</v>
      </c>
      <c r="G984" s="6" t="s">
        <v>2749</v>
      </c>
      <c r="H984" s="8" t="s">
        <v>2750</v>
      </c>
      <c r="I984" s="14">
        <v>45293</v>
      </c>
    </row>
    <row r="985" spans="1:9" x14ac:dyDescent="0.15">
      <c r="A985" s="5">
        <v>984</v>
      </c>
      <c r="B985" s="6" t="s">
        <v>9</v>
      </c>
      <c r="C985" s="7">
        <v>1882</v>
      </c>
      <c r="D985" s="8">
        <v>45388</v>
      </c>
      <c r="E985" s="9" t="str">
        <f>+HYPERLINK("http://trademark.i-assist.jp/data/china/image_1882th/76153768.pdf","76153768")</f>
        <v>76153768</v>
      </c>
      <c r="F985" s="6" t="s">
        <v>2751</v>
      </c>
      <c r="G985" s="6" t="s">
        <v>2575</v>
      </c>
      <c r="H985" s="8" t="s">
        <v>2752</v>
      </c>
      <c r="I985" s="14">
        <v>45293</v>
      </c>
    </row>
    <row r="986" spans="1:9" x14ac:dyDescent="0.15">
      <c r="A986" s="5">
        <v>985</v>
      </c>
      <c r="B986" s="6" t="s">
        <v>9</v>
      </c>
      <c r="C986" s="7">
        <v>1882</v>
      </c>
      <c r="D986" s="8">
        <v>45388</v>
      </c>
      <c r="E986" s="9" t="str">
        <f>+HYPERLINK("http://trademark.i-assist.jp/data/china/image_1882th/76154165.pdf","76154165")</f>
        <v>76154165</v>
      </c>
      <c r="F986" s="6" t="s">
        <v>2753</v>
      </c>
      <c r="G986" s="6" t="s">
        <v>2721</v>
      </c>
      <c r="H986" s="8" t="s">
        <v>2754</v>
      </c>
      <c r="I986" s="14">
        <v>45293</v>
      </c>
    </row>
    <row r="987" spans="1:9" x14ac:dyDescent="0.15">
      <c r="A987" s="5">
        <v>986</v>
      </c>
      <c r="B987" s="6" t="s">
        <v>9</v>
      </c>
      <c r="C987" s="7">
        <v>1882</v>
      </c>
      <c r="D987" s="8">
        <v>45388</v>
      </c>
      <c r="E987" s="9" t="str">
        <f>+HYPERLINK("http://trademark.i-assist.jp/data/china/image_1882th/76154183.pdf","76154183")</f>
        <v>76154183</v>
      </c>
      <c r="F987" s="6" t="s">
        <v>2755</v>
      </c>
      <c r="G987" s="6" t="s">
        <v>2756</v>
      </c>
      <c r="H987" s="8" t="s">
        <v>2757</v>
      </c>
      <c r="I987" s="14">
        <v>45293</v>
      </c>
    </row>
    <row r="988" spans="1:9" x14ac:dyDescent="0.15">
      <c r="A988" s="5">
        <v>987</v>
      </c>
      <c r="B988" s="6" t="s">
        <v>9</v>
      </c>
      <c r="C988" s="7">
        <v>1882</v>
      </c>
      <c r="D988" s="8">
        <v>45388</v>
      </c>
      <c r="E988" s="9" t="str">
        <f>+HYPERLINK("http://trademark.i-assist.jp/data/china/image_1882th/76154338.pdf","76154338")</f>
        <v>76154338</v>
      </c>
      <c r="F988" s="6" t="s">
        <v>2758</v>
      </c>
      <c r="G988" s="6" t="s">
        <v>2490</v>
      </c>
      <c r="H988" s="8" t="s">
        <v>2759</v>
      </c>
      <c r="I988" s="14">
        <v>45293</v>
      </c>
    </row>
    <row r="989" spans="1:9" x14ac:dyDescent="0.15">
      <c r="A989" s="5">
        <v>988</v>
      </c>
      <c r="B989" s="6" t="s">
        <v>9</v>
      </c>
      <c r="C989" s="7">
        <v>1882</v>
      </c>
      <c r="D989" s="8">
        <v>45388</v>
      </c>
      <c r="E989" s="9" t="str">
        <f>+HYPERLINK("http://trademark.i-assist.jp/data/china/image_1882th/76154989.pdf","76154989")</f>
        <v>76154989</v>
      </c>
      <c r="F989" s="6" t="s">
        <v>2760</v>
      </c>
      <c r="G989" s="6" t="s">
        <v>2761</v>
      </c>
      <c r="H989" s="8" t="s">
        <v>2762</v>
      </c>
      <c r="I989" s="14">
        <v>45294</v>
      </c>
    </row>
    <row r="990" spans="1:9" x14ac:dyDescent="0.15">
      <c r="A990" s="5">
        <v>989</v>
      </c>
      <c r="B990" s="6" t="s">
        <v>9</v>
      </c>
      <c r="C990" s="7">
        <v>1882</v>
      </c>
      <c r="D990" s="8">
        <v>45388</v>
      </c>
      <c r="E990" s="9" t="str">
        <f>+HYPERLINK("http://trademark.i-assist.jp/data/china/image_1882th/76155007.pdf","76155007")</f>
        <v>76155007</v>
      </c>
      <c r="F990" s="6" t="s">
        <v>2763</v>
      </c>
      <c r="G990" s="6" t="s">
        <v>2764</v>
      </c>
      <c r="H990" s="8" t="s">
        <v>2765</v>
      </c>
      <c r="I990" s="14">
        <v>45294</v>
      </c>
    </row>
    <row r="991" spans="1:9" x14ac:dyDescent="0.15">
      <c r="A991" s="5">
        <v>990</v>
      </c>
      <c r="B991" s="6" t="s">
        <v>9</v>
      </c>
      <c r="C991" s="7">
        <v>1882</v>
      </c>
      <c r="D991" s="8">
        <v>45388</v>
      </c>
      <c r="E991" s="9" t="str">
        <f>+HYPERLINK("http://trademark.i-assist.jp/data/china/image_1882th/76155230.pdf","76155230")</f>
        <v>76155230</v>
      </c>
      <c r="F991" s="6" t="s">
        <v>2766</v>
      </c>
      <c r="G991" s="6" t="s">
        <v>2767</v>
      </c>
      <c r="H991" s="8" t="s">
        <v>2768</v>
      </c>
      <c r="I991" s="14">
        <v>45294</v>
      </c>
    </row>
    <row r="992" spans="1:9" x14ac:dyDescent="0.15">
      <c r="A992" s="5">
        <v>991</v>
      </c>
      <c r="B992" s="6" t="s">
        <v>9</v>
      </c>
      <c r="C992" s="7">
        <v>1882</v>
      </c>
      <c r="D992" s="8">
        <v>45388</v>
      </c>
      <c r="E992" s="9" t="str">
        <f>+HYPERLINK("http://trademark.i-assist.jp/data/china/image_1882th/76155555.pdf","76155555")</f>
        <v>76155555</v>
      </c>
      <c r="F992" s="6" t="s">
        <v>2769</v>
      </c>
      <c r="G992" s="6" t="s">
        <v>2770</v>
      </c>
      <c r="H992" s="8" t="s">
        <v>2771</v>
      </c>
      <c r="I992" s="14">
        <v>45294</v>
      </c>
    </row>
    <row r="993" spans="1:9" x14ac:dyDescent="0.15">
      <c r="A993" s="5">
        <v>992</v>
      </c>
      <c r="B993" s="6" t="s">
        <v>9</v>
      </c>
      <c r="C993" s="7">
        <v>1882</v>
      </c>
      <c r="D993" s="8">
        <v>45388</v>
      </c>
      <c r="E993" s="9" t="str">
        <f>+HYPERLINK("http://trademark.i-assist.jp/data/china/image_1882th/76155680.pdf","76155680")</f>
        <v>76155680</v>
      </c>
      <c r="F993" s="6" t="s">
        <v>2772</v>
      </c>
      <c r="G993" s="6" t="s">
        <v>2773</v>
      </c>
      <c r="H993" s="8" t="s">
        <v>2774</v>
      </c>
      <c r="I993" s="14">
        <v>45294</v>
      </c>
    </row>
    <row r="994" spans="1:9" x14ac:dyDescent="0.15">
      <c r="A994" s="5">
        <v>993</v>
      </c>
      <c r="B994" s="6" t="s">
        <v>9</v>
      </c>
      <c r="C994" s="7">
        <v>1882</v>
      </c>
      <c r="D994" s="8">
        <v>45388</v>
      </c>
      <c r="E994" s="9" t="str">
        <f>+HYPERLINK("http://trademark.i-assist.jp/data/china/image_1882th/76155900.pdf","76155900")</f>
        <v>76155900</v>
      </c>
      <c r="F994" s="6" t="s">
        <v>2775</v>
      </c>
      <c r="G994" s="6" t="s">
        <v>2776</v>
      </c>
      <c r="H994" s="8" t="s">
        <v>2777</v>
      </c>
      <c r="I994" s="14">
        <v>45294</v>
      </c>
    </row>
    <row r="995" spans="1:9" x14ac:dyDescent="0.15">
      <c r="A995" s="5">
        <v>994</v>
      </c>
      <c r="B995" s="6" t="s">
        <v>9</v>
      </c>
      <c r="C995" s="7">
        <v>1882</v>
      </c>
      <c r="D995" s="8">
        <v>45388</v>
      </c>
      <c r="E995" s="9" t="str">
        <f>+HYPERLINK("http://trademark.i-assist.jp/data/china/image_1882th/76156251.pdf","76156251")</f>
        <v>76156251</v>
      </c>
      <c r="F995" s="6" t="s">
        <v>2778</v>
      </c>
      <c r="G995" s="6" t="s">
        <v>2779</v>
      </c>
      <c r="H995" s="8" t="s">
        <v>2780</v>
      </c>
      <c r="I995" s="14">
        <v>45294</v>
      </c>
    </row>
    <row r="996" spans="1:9" x14ac:dyDescent="0.15">
      <c r="A996" s="5">
        <v>995</v>
      </c>
      <c r="B996" s="6" t="s">
        <v>9</v>
      </c>
      <c r="C996" s="7">
        <v>1882</v>
      </c>
      <c r="D996" s="8">
        <v>45388</v>
      </c>
      <c r="E996" s="9" t="str">
        <f>+HYPERLINK("http://trademark.i-assist.jp/data/china/image_1882th/76156331.pdf","76156331")</f>
        <v>76156331</v>
      </c>
      <c r="F996" s="6" t="s">
        <v>2781</v>
      </c>
      <c r="G996" s="6" t="s">
        <v>1678</v>
      </c>
      <c r="H996" s="8" t="s">
        <v>2782</v>
      </c>
      <c r="I996" s="14">
        <v>45294</v>
      </c>
    </row>
    <row r="997" spans="1:9" x14ac:dyDescent="0.15">
      <c r="A997" s="5">
        <v>996</v>
      </c>
      <c r="B997" s="6" t="s">
        <v>9</v>
      </c>
      <c r="C997" s="7">
        <v>1882</v>
      </c>
      <c r="D997" s="8">
        <v>45388</v>
      </c>
      <c r="E997" s="9" t="str">
        <f>+HYPERLINK("http://trademark.i-assist.jp/data/china/image_1882th/76156356.pdf","76156356")</f>
        <v>76156356</v>
      </c>
      <c r="F997" s="6" t="s">
        <v>2783</v>
      </c>
      <c r="G997" s="6" t="s">
        <v>2784</v>
      </c>
      <c r="H997" s="8" t="s">
        <v>2785</v>
      </c>
      <c r="I997" s="14">
        <v>45294</v>
      </c>
    </row>
    <row r="998" spans="1:9" x14ac:dyDescent="0.15">
      <c r="A998" s="5">
        <v>997</v>
      </c>
      <c r="B998" s="6" t="s">
        <v>9</v>
      </c>
      <c r="C998" s="7">
        <v>1882</v>
      </c>
      <c r="D998" s="8">
        <v>45388</v>
      </c>
      <c r="E998" s="9" t="str">
        <f>+HYPERLINK("http://trademark.i-assist.jp/data/china/image_1882th/76156853.pdf","76156853")</f>
        <v>76156853</v>
      </c>
      <c r="F998" s="6" t="s">
        <v>2786</v>
      </c>
      <c r="G998" s="6" t="s">
        <v>2787</v>
      </c>
      <c r="H998" s="8" t="s">
        <v>2788</v>
      </c>
      <c r="I998" s="14">
        <v>45294</v>
      </c>
    </row>
    <row r="999" spans="1:9" x14ac:dyDescent="0.15">
      <c r="A999" s="5">
        <v>998</v>
      </c>
      <c r="B999" s="6" t="s">
        <v>9</v>
      </c>
      <c r="C999" s="7">
        <v>1882</v>
      </c>
      <c r="D999" s="8">
        <v>45388</v>
      </c>
      <c r="E999" s="9" t="str">
        <f>+HYPERLINK("http://trademark.i-assist.jp/data/china/image_1882th/76157036.pdf","76157036")</f>
        <v>76157036</v>
      </c>
      <c r="F999" s="6" t="s">
        <v>2789</v>
      </c>
      <c r="G999" s="6" t="s">
        <v>2790</v>
      </c>
      <c r="H999" s="8" t="s">
        <v>2791</v>
      </c>
      <c r="I999" s="14">
        <v>45294</v>
      </c>
    </row>
    <row r="1000" spans="1:9" x14ac:dyDescent="0.15">
      <c r="A1000" s="5">
        <v>999</v>
      </c>
      <c r="B1000" s="6" t="s">
        <v>9</v>
      </c>
      <c r="C1000" s="7">
        <v>1882</v>
      </c>
      <c r="D1000" s="8">
        <v>45388</v>
      </c>
      <c r="E1000" s="9" t="str">
        <f>+HYPERLINK("http://trademark.i-assist.jp/data/china/image_1882th/76157682.pdf","76157682")</f>
        <v>76157682</v>
      </c>
      <c r="F1000" s="6" t="s">
        <v>2792</v>
      </c>
      <c r="G1000" s="6" t="s">
        <v>2793</v>
      </c>
      <c r="H1000" s="8" t="s">
        <v>2794</v>
      </c>
      <c r="I1000" s="14">
        <v>45294</v>
      </c>
    </row>
    <row r="1001" spans="1:9" x14ac:dyDescent="0.15">
      <c r="A1001" s="5">
        <v>1000</v>
      </c>
      <c r="B1001" s="6" t="s">
        <v>9</v>
      </c>
      <c r="C1001" s="7">
        <v>1882</v>
      </c>
      <c r="D1001" s="8">
        <v>45388</v>
      </c>
      <c r="E1001" s="9" t="str">
        <f>+HYPERLINK("http://trademark.i-assist.jp/data/china/image_1882th/76157971.pdf","76157971")</f>
        <v>76157971</v>
      </c>
      <c r="F1001" s="6" t="s">
        <v>2795</v>
      </c>
      <c r="G1001" s="6" t="s">
        <v>2796</v>
      </c>
      <c r="H1001" s="8" t="s">
        <v>2797</v>
      </c>
      <c r="I1001" s="14">
        <v>45294</v>
      </c>
    </row>
    <row r="1002" spans="1:9" x14ac:dyDescent="0.15">
      <c r="A1002" s="5">
        <v>1001</v>
      </c>
      <c r="B1002" s="6" t="s">
        <v>9</v>
      </c>
      <c r="C1002" s="7">
        <v>1882</v>
      </c>
      <c r="D1002" s="8">
        <v>45388</v>
      </c>
      <c r="E1002" s="9" t="str">
        <f>+HYPERLINK("http://trademark.i-assist.jp/data/china/image_1882th/76158382.pdf","76158382")</f>
        <v>76158382</v>
      </c>
      <c r="F1002" s="6" t="s">
        <v>2798</v>
      </c>
      <c r="G1002" s="6" t="s">
        <v>2799</v>
      </c>
      <c r="H1002" s="8" t="s">
        <v>2800</v>
      </c>
      <c r="I1002" s="14">
        <v>45294</v>
      </c>
    </row>
    <row r="1003" spans="1:9" x14ac:dyDescent="0.15">
      <c r="A1003" s="5">
        <v>1002</v>
      </c>
      <c r="B1003" s="6" t="s">
        <v>9</v>
      </c>
      <c r="C1003" s="7">
        <v>1882</v>
      </c>
      <c r="D1003" s="8">
        <v>45388</v>
      </c>
      <c r="E1003" s="9" t="str">
        <f>+HYPERLINK("http://trademark.i-assist.jp/data/china/image_1882th/76158384.pdf","76158384")</f>
        <v>76158384</v>
      </c>
      <c r="F1003" s="6" t="s">
        <v>2801</v>
      </c>
      <c r="G1003" s="6" t="s">
        <v>2802</v>
      </c>
      <c r="H1003" s="8" t="s">
        <v>2803</v>
      </c>
      <c r="I1003" s="14">
        <v>45294</v>
      </c>
    </row>
    <row r="1004" spans="1:9" x14ac:dyDescent="0.15">
      <c r="A1004" s="5">
        <v>1003</v>
      </c>
      <c r="B1004" s="6" t="s">
        <v>9</v>
      </c>
      <c r="C1004" s="7">
        <v>1882</v>
      </c>
      <c r="D1004" s="8">
        <v>45388</v>
      </c>
      <c r="E1004" s="9" t="str">
        <f>+HYPERLINK("http://trademark.i-assist.jp/data/china/image_1882th/76158739.pdf","76158739")</f>
        <v>76158739</v>
      </c>
      <c r="F1004" s="6" t="s">
        <v>2804</v>
      </c>
      <c r="G1004" s="6" t="s">
        <v>2805</v>
      </c>
      <c r="H1004" s="8" t="s">
        <v>2806</v>
      </c>
      <c r="I1004" s="14">
        <v>45294</v>
      </c>
    </row>
    <row r="1005" spans="1:9" x14ac:dyDescent="0.15">
      <c r="A1005" s="5">
        <v>1004</v>
      </c>
      <c r="B1005" s="6" t="s">
        <v>9</v>
      </c>
      <c r="C1005" s="7">
        <v>1882</v>
      </c>
      <c r="D1005" s="8">
        <v>45388</v>
      </c>
      <c r="E1005" s="9" t="str">
        <f>+HYPERLINK("http://trademark.i-assist.jp/data/china/image_1882th/76158915.pdf","76158915")</f>
        <v>76158915</v>
      </c>
      <c r="F1005" s="6" t="s">
        <v>2807</v>
      </c>
      <c r="G1005" s="6" t="s">
        <v>2808</v>
      </c>
      <c r="H1005" s="8" t="s">
        <v>2809</v>
      </c>
      <c r="I1005" s="14">
        <v>45294</v>
      </c>
    </row>
    <row r="1006" spans="1:9" x14ac:dyDescent="0.15">
      <c r="A1006" s="5">
        <v>1005</v>
      </c>
      <c r="B1006" s="6" t="s">
        <v>9</v>
      </c>
      <c r="C1006" s="7">
        <v>1882</v>
      </c>
      <c r="D1006" s="8">
        <v>45388</v>
      </c>
      <c r="E1006" s="9" t="str">
        <f>+HYPERLINK("http://trademark.i-assist.jp/data/china/image_1882th/76159065.pdf","76159065")</f>
        <v>76159065</v>
      </c>
      <c r="F1006" s="6" t="s">
        <v>2810</v>
      </c>
      <c r="G1006" s="6" t="s">
        <v>2811</v>
      </c>
      <c r="H1006" s="8" t="s">
        <v>2812</v>
      </c>
      <c r="I1006" s="14">
        <v>45294</v>
      </c>
    </row>
    <row r="1007" spans="1:9" x14ac:dyDescent="0.15">
      <c r="A1007" s="5">
        <v>1006</v>
      </c>
      <c r="B1007" s="6" t="s">
        <v>9</v>
      </c>
      <c r="C1007" s="7">
        <v>1882</v>
      </c>
      <c r="D1007" s="8">
        <v>45388</v>
      </c>
      <c r="E1007" s="9" t="str">
        <f>+HYPERLINK("http://trademark.i-assist.jp/data/china/image_1882th/76159348.pdf","76159348")</f>
        <v>76159348</v>
      </c>
      <c r="F1007" s="6" t="s">
        <v>2813</v>
      </c>
      <c r="G1007" s="6" t="s">
        <v>2814</v>
      </c>
      <c r="H1007" s="8" t="s">
        <v>2815</v>
      </c>
      <c r="I1007" s="14">
        <v>45294</v>
      </c>
    </row>
    <row r="1008" spans="1:9" x14ac:dyDescent="0.15">
      <c r="A1008" s="5">
        <v>1007</v>
      </c>
      <c r="B1008" s="6" t="s">
        <v>9</v>
      </c>
      <c r="C1008" s="7">
        <v>1882</v>
      </c>
      <c r="D1008" s="8">
        <v>45388</v>
      </c>
      <c r="E1008" s="9" t="str">
        <f>+HYPERLINK("http://trademark.i-assist.jp/data/china/image_1882th/76159537.pdf","76159537")</f>
        <v>76159537</v>
      </c>
      <c r="F1008" s="6" t="s">
        <v>2816</v>
      </c>
      <c r="G1008" s="6" t="s">
        <v>2817</v>
      </c>
      <c r="H1008" s="8" t="s">
        <v>2818</v>
      </c>
      <c r="I1008" s="14">
        <v>45294</v>
      </c>
    </row>
    <row r="1009" spans="1:9" x14ac:dyDescent="0.15">
      <c r="A1009" s="5">
        <v>1008</v>
      </c>
      <c r="B1009" s="6" t="s">
        <v>9</v>
      </c>
      <c r="C1009" s="7">
        <v>1882</v>
      </c>
      <c r="D1009" s="8">
        <v>45388</v>
      </c>
      <c r="E1009" s="9" t="str">
        <f>+HYPERLINK("http://trademark.i-assist.jp/data/china/image_1882th/76159933.pdf","76159933")</f>
        <v>76159933</v>
      </c>
      <c r="F1009" s="6" t="s">
        <v>2819</v>
      </c>
      <c r="G1009" s="6" t="s">
        <v>2820</v>
      </c>
      <c r="H1009" s="8" t="s">
        <v>2821</v>
      </c>
      <c r="I1009" s="14">
        <v>45294</v>
      </c>
    </row>
    <row r="1010" spans="1:9" x14ac:dyDescent="0.15">
      <c r="A1010" s="5">
        <v>1009</v>
      </c>
      <c r="B1010" s="6" t="s">
        <v>9</v>
      </c>
      <c r="C1010" s="7">
        <v>1882</v>
      </c>
      <c r="D1010" s="8">
        <v>45388</v>
      </c>
      <c r="E1010" s="9" t="str">
        <f>+HYPERLINK("http://trademark.i-assist.jp/data/china/image_1882th/76161144.pdf","76161144")</f>
        <v>76161144</v>
      </c>
      <c r="F1010" s="6" t="s">
        <v>2822</v>
      </c>
      <c r="G1010" s="6" t="s">
        <v>2823</v>
      </c>
      <c r="H1010" s="8" t="s">
        <v>2824</v>
      </c>
      <c r="I1010" s="14">
        <v>45294</v>
      </c>
    </row>
    <row r="1011" spans="1:9" x14ac:dyDescent="0.15">
      <c r="A1011" s="5">
        <v>1010</v>
      </c>
      <c r="B1011" s="6" t="s">
        <v>9</v>
      </c>
      <c r="C1011" s="7">
        <v>1882</v>
      </c>
      <c r="D1011" s="8">
        <v>45388</v>
      </c>
      <c r="E1011" s="9" t="str">
        <f>+HYPERLINK("http://trademark.i-assist.jp/data/china/image_1882th/76161183.pdf","76161183")</f>
        <v>76161183</v>
      </c>
      <c r="F1011" s="6" t="s">
        <v>2825</v>
      </c>
      <c r="G1011" s="6" t="s">
        <v>2826</v>
      </c>
      <c r="H1011" s="8" t="s">
        <v>2827</v>
      </c>
      <c r="I1011" s="14">
        <v>45294</v>
      </c>
    </row>
    <row r="1012" spans="1:9" x14ac:dyDescent="0.15">
      <c r="A1012" s="5">
        <v>1011</v>
      </c>
      <c r="B1012" s="6" t="s">
        <v>9</v>
      </c>
      <c r="C1012" s="7">
        <v>1882</v>
      </c>
      <c r="D1012" s="8">
        <v>45388</v>
      </c>
      <c r="E1012" s="9" t="str">
        <f>+HYPERLINK("http://trademark.i-assist.jp/data/china/image_1882th/76161198.pdf","76161198")</f>
        <v>76161198</v>
      </c>
      <c r="F1012" s="6" t="s">
        <v>2828</v>
      </c>
      <c r="G1012" s="6" t="s">
        <v>2829</v>
      </c>
      <c r="H1012" s="8" t="s">
        <v>2830</v>
      </c>
      <c r="I1012" s="14">
        <v>45294</v>
      </c>
    </row>
    <row r="1013" spans="1:9" x14ac:dyDescent="0.15">
      <c r="A1013" s="5">
        <v>1012</v>
      </c>
      <c r="B1013" s="6" t="s">
        <v>9</v>
      </c>
      <c r="C1013" s="7">
        <v>1882</v>
      </c>
      <c r="D1013" s="8">
        <v>45388</v>
      </c>
      <c r="E1013" s="9" t="str">
        <f>+HYPERLINK("http://trademark.i-assist.jp/data/china/image_1882th/76161204.pdf","76161204")</f>
        <v>76161204</v>
      </c>
      <c r="F1013" s="6" t="s">
        <v>2831</v>
      </c>
      <c r="G1013" s="6" t="s">
        <v>2805</v>
      </c>
      <c r="H1013" s="8" t="s">
        <v>2832</v>
      </c>
      <c r="I1013" s="14">
        <v>45294</v>
      </c>
    </row>
    <row r="1014" spans="1:9" x14ac:dyDescent="0.15">
      <c r="A1014" s="5">
        <v>1013</v>
      </c>
      <c r="B1014" s="6" t="s">
        <v>9</v>
      </c>
      <c r="C1014" s="7">
        <v>1882</v>
      </c>
      <c r="D1014" s="8">
        <v>45388</v>
      </c>
      <c r="E1014" s="9" t="str">
        <f>+HYPERLINK("http://trademark.i-assist.jp/data/china/image_1882th/76161518.pdf","76161518")</f>
        <v>76161518</v>
      </c>
      <c r="F1014" s="6" t="s">
        <v>2833</v>
      </c>
      <c r="G1014" s="6" t="s">
        <v>2834</v>
      </c>
      <c r="H1014" s="8" t="s">
        <v>2835</v>
      </c>
      <c r="I1014" s="14">
        <v>45294</v>
      </c>
    </row>
    <row r="1015" spans="1:9" x14ac:dyDescent="0.15">
      <c r="A1015" s="5">
        <v>1014</v>
      </c>
      <c r="B1015" s="6" t="s">
        <v>9</v>
      </c>
      <c r="C1015" s="7">
        <v>1882</v>
      </c>
      <c r="D1015" s="8">
        <v>45388</v>
      </c>
      <c r="E1015" s="9" t="str">
        <f>+HYPERLINK("http://trademark.i-assist.jp/data/china/image_1882th/76161782.pdf","76161782")</f>
        <v>76161782</v>
      </c>
      <c r="F1015" s="6" t="s">
        <v>2836</v>
      </c>
      <c r="G1015" s="6" t="s">
        <v>2837</v>
      </c>
      <c r="H1015" s="8" t="s">
        <v>2838</v>
      </c>
      <c r="I1015" s="14">
        <v>45294</v>
      </c>
    </row>
    <row r="1016" spans="1:9" x14ac:dyDescent="0.15">
      <c r="A1016" s="5">
        <v>1015</v>
      </c>
      <c r="B1016" s="6" t="s">
        <v>9</v>
      </c>
      <c r="C1016" s="7">
        <v>1882</v>
      </c>
      <c r="D1016" s="8">
        <v>45388</v>
      </c>
      <c r="E1016" s="9" t="str">
        <f>+HYPERLINK("http://trademark.i-assist.jp/data/china/image_1882th/76161870.pdf","76161870")</f>
        <v>76161870</v>
      </c>
      <c r="F1016" s="6" t="s">
        <v>2839</v>
      </c>
      <c r="G1016" s="6" t="s">
        <v>2784</v>
      </c>
      <c r="H1016" s="8" t="s">
        <v>2840</v>
      </c>
      <c r="I1016" s="14">
        <v>45294</v>
      </c>
    </row>
    <row r="1017" spans="1:9" x14ac:dyDescent="0.15">
      <c r="A1017" s="5">
        <v>1016</v>
      </c>
      <c r="B1017" s="6" t="s">
        <v>9</v>
      </c>
      <c r="C1017" s="7">
        <v>1882</v>
      </c>
      <c r="D1017" s="8">
        <v>45388</v>
      </c>
      <c r="E1017" s="9" t="str">
        <f>+HYPERLINK("http://trademark.i-assist.jp/data/china/image_1882th/76161879.pdf","76161879")</f>
        <v>76161879</v>
      </c>
      <c r="F1017" s="6" t="s">
        <v>2841</v>
      </c>
      <c r="G1017" s="6" t="s">
        <v>2784</v>
      </c>
      <c r="H1017" s="8" t="s">
        <v>2842</v>
      </c>
      <c r="I1017" s="14">
        <v>45294</v>
      </c>
    </row>
    <row r="1018" spans="1:9" x14ac:dyDescent="0.15">
      <c r="A1018" s="5">
        <v>1017</v>
      </c>
      <c r="B1018" s="6" t="s">
        <v>9</v>
      </c>
      <c r="C1018" s="7">
        <v>1882</v>
      </c>
      <c r="D1018" s="8">
        <v>45388</v>
      </c>
      <c r="E1018" s="9" t="str">
        <f>+HYPERLINK("http://trademark.i-assist.jp/data/china/image_1882th/76162043.pdf","76162043")</f>
        <v>76162043</v>
      </c>
      <c r="F1018" s="6" t="s">
        <v>2843</v>
      </c>
      <c r="G1018" s="6" t="s">
        <v>1598</v>
      </c>
      <c r="H1018" s="8" t="s">
        <v>2844</v>
      </c>
      <c r="I1018" s="14">
        <v>45294</v>
      </c>
    </row>
    <row r="1019" spans="1:9" x14ac:dyDescent="0.15">
      <c r="A1019" s="5">
        <v>1018</v>
      </c>
      <c r="B1019" s="6" t="s">
        <v>9</v>
      </c>
      <c r="C1019" s="7">
        <v>1882</v>
      </c>
      <c r="D1019" s="8">
        <v>45388</v>
      </c>
      <c r="E1019" s="9" t="str">
        <f>+HYPERLINK("http://trademark.i-assist.jp/data/china/image_1882th/76162205.pdf","76162205")</f>
        <v>76162205</v>
      </c>
      <c r="F1019" s="6" t="s">
        <v>2845</v>
      </c>
      <c r="G1019" s="6" t="s">
        <v>2846</v>
      </c>
      <c r="H1019" s="8" t="s">
        <v>2847</v>
      </c>
      <c r="I1019" s="14">
        <v>45294</v>
      </c>
    </row>
    <row r="1020" spans="1:9" x14ac:dyDescent="0.15">
      <c r="A1020" s="5">
        <v>1019</v>
      </c>
      <c r="B1020" s="6" t="s">
        <v>9</v>
      </c>
      <c r="C1020" s="7">
        <v>1882</v>
      </c>
      <c r="D1020" s="8">
        <v>45388</v>
      </c>
      <c r="E1020" s="9" t="str">
        <f>+HYPERLINK("http://trademark.i-assist.jp/data/china/image_1882th/76162221.pdf","76162221")</f>
        <v>76162221</v>
      </c>
      <c r="F1020" s="6" t="s">
        <v>2848</v>
      </c>
      <c r="G1020" s="6" t="s">
        <v>2849</v>
      </c>
      <c r="H1020" s="8" t="s">
        <v>2850</v>
      </c>
      <c r="I1020" s="14">
        <v>45294</v>
      </c>
    </row>
    <row r="1021" spans="1:9" x14ac:dyDescent="0.15">
      <c r="A1021" s="5">
        <v>1020</v>
      </c>
      <c r="B1021" s="6" t="s">
        <v>9</v>
      </c>
      <c r="C1021" s="7">
        <v>1882</v>
      </c>
      <c r="D1021" s="8">
        <v>45388</v>
      </c>
      <c r="E1021" s="9" t="str">
        <f>+HYPERLINK("http://trademark.i-assist.jp/data/china/image_1882th/76162277.pdf","76162277")</f>
        <v>76162277</v>
      </c>
      <c r="F1021" s="6" t="s">
        <v>2851</v>
      </c>
      <c r="G1021" s="6" t="s">
        <v>2852</v>
      </c>
      <c r="H1021" s="8" t="s">
        <v>2853</v>
      </c>
      <c r="I1021" s="14">
        <v>45294</v>
      </c>
    </row>
    <row r="1022" spans="1:9" x14ac:dyDescent="0.15">
      <c r="A1022" s="5">
        <v>1021</v>
      </c>
      <c r="B1022" s="6" t="s">
        <v>9</v>
      </c>
      <c r="C1022" s="7">
        <v>1882</v>
      </c>
      <c r="D1022" s="8">
        <v>45388</v>
      </c>
      <c r="E1022" s="9" t="str">
        <f>+HYPERLINK("http://trademark.i-assist.jp/data/china/image_1882th/76162468.pdf","76162468")</f>
        <v>76162468</v>
      </c>
      <c r="F1022" s="6" t="s">
        <v>2854</v>
      </c>
      <c r="G1022" s="6" t="s">
        <v>2855</v>
      </c>
      <c r="H1022" s="8" t="s">
        <v>2856</v>
      </c>
      <c r="I1022" s="14">
        <v>45294</v>
      </c>
    </row>
    <row r="1023" spans="1:9" x14ac:dyDescent="0.15">
      <c r="A1023" s="5">
        <v>1022</v>
      </c>
      <c r="B1023" s="6" t="s">
        <v>9</v>
      </c>
      <c r="C1023" s="7">
        <v>1882</v>
      </c>
      <c r="D1023" s="8">
        <v>45388</v>
      </c>
      <c r="E1023" s="9" t="str">
        <f>+HYPERLINK("http://trademark.i-assist.jp/data/china/image_1882th/76162522.pdf","76162522")</f>
        <v>76162522</v>
      </c>
      <c r="F1023" s="6" t="s">
        <v>2857</v>
      </c>
      <c r="G1023" s="6" t="s">
        <v>2858</v>
      </c>
      <c r="H1023" s="8" t="s">
        <v>2859</v>
      </c>
      <c r="I1023" s="14">
        <v>45294</v>
      </c>
    </row>
    <row r="1024" spans="1:9" x14ac:dyDescent="0.15">
      <c r="A1024" s="5">
        <v>1023</v>
      </c>
      <c r="B1024" s="6" t="s">
        <v>9</v>
      </c>
      <c r="C1024" s="7">
        <v>1882</v>
      </c>
      <c r="D1024" s="8">
        <v>45388</v>
      </c>
      <c r="E1024" s="9" t="str">
        <f>+HYPERLINK("http://trademark.i-assist.jp/data/china/image_1882th/76162704.pdf","76162704")</f>
        <v>76162704</v>
      </c>
      <c r="F1024" s="6" t="s">
        <v>2860</v>
      </c>
      <c r="G1024" s="6" t="s">
        <v>2861</v>
      </c>
      <c r="H1024" s="8" t="s">
        <v>2862</v>
      </c>
      <c r="I1024" s="14">
        <v>45294</v>
      </c>
    </row>
    <row r="1025" spans="1:9" x14ac:dyDescent="0.15">
      <c r="A1025" s="5">
        <v>1024</v>
      </c>
      <c r="B1025" s="6" t="s">
        <v>9</v>
      </c>
      <c r="C1025" s="7">
        <v>1882</v>
      </c>
      <c r="D1025" s="8">
        <v>45388</v>
      </c>
      <c r="E1025" s="9" t="str">
        <f>+HYPERLINK("http://trademark.i-assist.jp/data/china/image_1882th/76162823.pdf","76162823")</f>
        <v>76162823</v>
      </c>
      <c r="F1025" s="6" t="s">
        <v>2863</v>
      </c>
      <c r="G1025" s="6" t="s">
        <v>2805</v>
      </c>
      <c r="H1025" s="8" t="s">
        <v>2864</v>
      </c>
      <c r="I1025" s="14">
        <v>45294</v>
      </c>
    </row>
    <row r="1026" spans="1:9" x14ac:dyDescent="0.15">
      <c r="A1026" s="5">
        <v>1025</v>
      </c>
      <c r="B1026" s="6" t="s">
        <v>9</v>
      </c>
      <c r="C1026" s="7">
        <v>1882</v>
      </c>
      <c r="D1026" s="8">
        <v>45388</v>
      </c>
      <c r="E1026" s="9" t="str">
        <f>+HYPERLINK("http://trademark.i-assist.jp/data/china/image_1882th/76162885.pdf","76162885")</f>
        <v>76162885</v>
      </c>
      <c r="F1026" s="6" t="s">
        <v>2865</v>
      </c>
      <c r="G1026" s="6" t="s">
        <v>2866</v>
      </c>
      <c r="H1026" s="8" t="s">
        <v>2867</v>
      </c>
      <c r="I1026" s="14">
        <v>45294</v>
      </c>
    </row>
    <row r="1027" spans="1:9" x14ac:dyDescent="0.15">
      <c r="A1027" s="5">
        <v>1026</v>
      </c>
      <c r="B1027" s="6" t="s">
        <v>9</v>
      </c>
      <c r="C1027" s="7">
        <v>1882</v>
      </c>
      <c r="D1027" s="8">
        <v>45388</v>
      </c>
      <c r="E1027" s="9" t="str">
        <f>+HYPERLINK("http://trademark.i-assist.jp/data/china/image_1882th/76162988.pdf","76162988")</f>
        <v>76162988</v>
      </c>
      <c r="F1027" s="6" t="s">
        <v>2868</v>
      </c>
      <c r="G1027" s="6" t="s">
        <v>2869</v>
      </c>
      <c r="H1027" s="8" t="s">
        <v>2870</v>
      </c>
      <c r="I1027" s="14">
        <v>45294</v>
      </c>
    </row>
    <row r="1028" spans="1:9" x14ac:dyDescent="0.15">
      <c r="A1028" s="5">
        <v>1027</v>
      </c>
      <c r="B1028" s="6" t="s">
        <v>9</v>
      </c>
      <c r="C1028" s="7">
        <v>1882</v>
      </c>
      <c r="D1028" s="8">
        <v>45388</v>
      </c>
      <c r="E1028" s="9" t="str">
        <f>+HYPERLINK("http://trademark.i-assist.jp/data/china/image_1882th/76163063.pdf","76163063")</f>
        <v>76163063</v>
      </c>
      <c r="F1028" s="6" t="s">
        <v>2871</v>
      </c>
      <c r="G1028" s="6" t="s">
        <v>2872</v>
      </c>
      <c r="H1028" s="8" t="s">
        <v>2873</v>
      </c>
      <c r="I1028" s="14">
        <v>45294</v>
      </c>
    </row>
    <row r="1029" spans="1:9" x14ac:dyDescent="0.15">
      <c r="A1029" s="5">
        <v>1028</v>
      </c>
      <c r="B1029" s="6" t="s">
        <v>9</v>
      </c>
      <c r="C1029" s="7">
        <v>1882</v>
      </c>
      <c r="D1029" s="8">
        <v>45388</v>
      </c>
      <c r="E1029" s="9" t="str">
        <f>+HYPERLINK("http://trademark.i-assist.jp/data/china/image_1882th/76163068.pdf","76163068")</f>
        <v>76163068</v>
      </c>
      <c r="F1029" s="6" t="s">
        <v>2874</v>
      </c>
      <c r="G1029" s="6" t="s">
        <v>2875</v>
      </c>
      <c r="H1029" s="8" t="s">
        <v>2876</v>
      </c>
      <c r="I1029" s="14">
        <v>45294</v>
      </c>
    </row>
    <row r="1030" spans="1:9" x14ac:dyDescent="0.15">
      <c r="A1030" s="5">
        <v>1029</v>
      </c>
      <c r="B1030" s="6" t="s">
        <v>9</v>
      </c>
      <c r="C1030" s="7">
        <v>1882</v>
      </c>
      <c r="D1030" s="8">
        <v>45388</v>
      </c>
      <c r="E1030" s="9" t="str">
        <f>+HYPERLINK("http://trademark.i-assist.jp/data/china/image_1882th/76163191.pdf","76163191")</f>
        <v>76163191</v>
      </c>
      <c r="F1030" s="6" t="s">
        <v>26</v>
      </c>
      <c r="G1030" s="6" t="s">
        <v>2877</v>
      </c>
      <c r="H1030" s="8" t="s">
        <v>2878</v>
      </c>
      <c r="I1030" s="14">
        <v>45294</v>
      </c>
    </row>
    <row r="1031" spans="1:9" x14ac:dyDescent="0.15">
      <c r="A1031" s="5">
        <v>1030</v>
      </c>
      <c r="B1031" s="6" t="s">
        <v>9</v>
      </c>
      <c r="C1031" s="7">
        <v>1882</v>
      </c>
      <c r="D1031" s="8">
        <v>45388</v>
      </c>
      <c r="E1031" s="9" t="str">
        <f>+HYPERLINK("http://trademark.i-assist.jp/data/china/image_1882th/76163455.pdf","76163455")</f>
        <v>76163455</v>
      </c>
      <c r="F1031" s="6" t="s">
        <v>2879</v>
      </c>
      <c r="G1031" s="6" t="s">
        <v>2880</v>
      </c>
      <c r="H1031" s="8" t="s">
        <v>2881</v>
      </c>
      <c r="I1031" s="14">
        <v>45294</v>
      </c>
    </row>
    <row r="1032" spans="1:9" x14ac:dyDescent="0.15">
      <c r="A1032" s="5">
        <v>1031</v>
      </c>
      <c r="B1032" s="6" t="s">
        <v>9</v>
      </c>
      <c r="C1032" s="7">
        <v>1882</v>
      </c>
      <c r="D1032" s="8">
        <v>45388</v>
      </c>
      <c r="E1032" s="9" t="str">
        <f>+HYPERLINK("http://trademark.i-assist.jp/data/china/image_1882th/76163753.pdf","76163753")</f>
        <v>76163753</v>
      </c>
      <c r="F1032" s="6" t="s">
        <v>2882</v>
      </c>
      <c r="G1032" s="6" t="s">
        <v>2883</v>
      </c>
      <c r="H1032" s="8" t="s">
        <v>2884</v>
      </c>
      <c r="I1032" s="14">
        <v>45294</v>
      </c>
    </row>
    <row r="1033" spans="1:9" x14ac:dyDescent="0.15">
      <c r="A1033" s="5">
        <v>1032</v>
      </c>
      <c r="B1033" s="6" t="s">
        <v>9</v>
      </c>
      <c r="C1033" s="7">
        <v>1882</v>
      </c>
      <c r="D1033" s="8">
        <v>45388</v>
      </c>
      <c r="E1033" s="9" t="str">
        <f>+HYPERLINK("http://trademark.i-assist.jp/data/china/image_1882th/76163894.pdf","76163894")</f>
        <v>76163894</v>
      </c>
      <c r="F1033" s="6" t="s">
        <v>2885</v>
      </c>
      <c r="G1033" s="6" t="s">
        <v>2886</v>
      </c>
      <c r="H1033" s="8" t="s">
        <v>2887</v>
      </c>
      <c r="I1033" s="14">
        <v>45294</v>
      </c>
    </row>
    <row r="1034" spans="1:9" x14ac:dyDescent="0.15">
      <c r="A1034" s="5">
        <v>1033</v>
      </c>
      <c r="B1034" s="6" t="s">
        <v>9</v>
      </c>
      <c r="C1034" s="7">
        <v>1882</v>
      </c>
      <c r="D1034" s="8">
        <v>45388</v>
      </c>
      <c r="E1034" s="9" t="str">
        <f>+HYPERLINK("http://trademark.i-assist.jp/data/china/image_1882th/76164000.pdf","76164000")</f>
        <v>76164000</v>
      </c>
      <c r="F1034" s="6" t="s">
        <v>2888</v>
      </c>
      <c r="G1034" s="6" t="s">
        <v>857</v>
      </c>
      <c r="H1034" s="8" t="s">
        <v>2889</v>
      </c>
      <c r="I1034" s="14">
        <v>45294</v>
      </c>
    </row>
    <row r="1035" spans="1:9" x14ac:dyDescent="0.15">
      <c r="A1035" s="5">
        <v>1034</v>
      </c>
      <c r="B1035" s="6" t="s">
        <v>9</v>
      </c>
      <c r="C1035" s="7">
        <v>1882</v>
      </c>
      <c r="D1035" s="8">
        <v>45388</v>
      </c>
      <c r="E1035" s="9" t="str">
        <f>+HYPERLINK("http://trademark.i-assist.jp/data/china/image_1882th/76164057.pdf","76164057")</f>
        <v>76164057</v>
      </c>
      <c r="F1035" s="6" t="s">
        <v>2890</v>
      </c>
      <c r="G1035" s="6" t="s">
        <v>2891</v>
      </c>
      <c r="H1035" s="8" t="s">
        <v>2892</v>
      </c>
      <c r="I1035" s="14">
        <v>45294</v>
      </c>
    </row>
    <row r="1036" spans="1:9" x14ac:dyDescent="0.15">
      <c r="A1036" s="5">
        <v>1035</v>
      </c>
      <c r="B1036" s="6" t="s">
        <v>9</v>
      </c>
      <c r="C1036" s="7">
        <v>1882</v>
      </c>
      <c r="D1036" s="8">
        <v>45388</v>
      </c>
      <c r="E1036" s="9" t="str">
        <f>+HYPERLINK("http://trademark.i-assist.jp/data/china/image_1882th/76164106.pdf","76164106")</f>
        <v>76164106</v>
      </c>
      <c r="F1036" s="6" t="s">
        <v>2893</v>
      </c>
      <c r="G1036" s="6" t="s">
        <v>2894</v>
      </c>
      <c r="H1036" s="8" t="s">
        <v>2895</v>
      </c>
      <c r="I1036" s="14">
        <v>45294</v>
      </c>
    </row>
    <row r="1037" spans="1:9" x14ac:dyDescent="0.15">
      <c r="A1037" s="5">
        <v>1036</v>
      </c>
      <c r="B1037" s="6" t="s">
        <v>9</v>
      </c>
      <c r="C1037" s="7">
        <v>1882</v>
      </c>
      <c r="D1037" s="8">
        <v>45388</v>
      </c>
      <c r="E1037" s="9" t="str">
        <f>+HYPERLINK("http://trademark.i-assist.jp/data/china/image_1882th/76164317.pdf","76164317")</f>
        <v>76164317</v>
      </c>
      <c r="F1037" s="6" t="s">
        <v>2896</v>
      </c>
      <c r="G1037" s="6" t="s">
        <v>2897</v>
      </c>
      <c r="H1037" s="8" t="s">
        <v>2898</v>
      </c>
      <c r="I1037" s="14">
        <v>45294</v>
      </c>
    </row>
    <row r="1038" spans="1:9" x14ac:dyDescent="0.15">
      <c r="A1038" s="5">
        <v>1037</v>
      </c>
      <c r="B1038" s="6" t="s">
        <v>9</v>
      </c>
      <c r="C1038" s="7">
        <v>1882</v>
      </c>
      <c r="D1038" s="8">
        <v>45388</v>
      </c>
      <c r="E1038" s="9" t="str">
        <f>+HYPERLINK("http://trademark.i-assist.jp/data/china/image_1882th/76164507.pdf","76164507")</f>
        <v>76164507</v>
      </c>
      <c r="F1038" s="6" t="s">
        <v>2899</v>
      </c>
      <c r="G1038" s="6" t="s">
        <v>2900</v>
      </c>
      <c r="H1038" s="8" t="s">
        <v>2901</v>
      </c>
      <c r="I1038" s="14">
        <v>45294</v>
      </c>
    </row>
    <row r="1039" spans="1:9" x14ac:dyDescent="0.15">
      <c r="A1039" s="5">
        <v>1038</v>
      </c>
      <c r="B1039" s="6" t="s">
        <v>9</v>
      </c>
      <c r="C1039" s="7">
        <v>1882</v>
      </c>
      <c r="D1039" s="8">
        <v>45388</v>
      </c>
      <c r="E1039" s="9" t="str">
        <f>+HYPERLINK("http://trademark.i-assist.jp/data/china/image_1882th/76164582.pdf","76164582")</f>
        <v>76164582</v>
      </c>
      <c r="F1039" s="6" t="s">
        <v>2902</v>
      </c>
      <c r="G1039" s="6" t="s">
        <v>2903</v>
      </c>
      <c r="H1039" s="8" t="s">
        <v>2904</v>
      </c>
      <c r="I1039" s="14">
        <v>45294</v>
      </c>
    </row>
    <row r="1040" spans="1:9" x14ac:dyDescent="0.15">
      <c r="A1040" s="5">
        <v>1039</v>
      </c>
      <c r="B1040" s="6" t="s">
        <v>9</v>
      </c>
      <c r="C1040" s="7">
        <v>1882</v>
      </c>
      <c r="D1040" s="8">
        <v>45388</v>
      </c>
      <c r="E1040" s="9" t="str">
        <f>+HYPERLINK("http://trademark.i-assist.jp/data/china/image_1882th/76164620.pdf","76164620")</f>
        <v>76164620</v>
      </c>
      <c r="F1040" s="6" t="s">
        <v>2905</v>
      </c>
      <c r="G1040" s="6" t="s">
        <v>2906</v>
      </c>
      <c r="H1040" s="8" t="s">
        <v>2907</v>
      </c>
      <c r="I1040" s="14">
        <v>45294</v>
      </c>
    </row>
    <row r="1041" spans="1:9" x14ac:dyDescent="0.15">
      <c r="A1041" s="5">
        <v>1040</v>
      </c>
      <c r="B1041" s="6" t="s">
        <v>9</v>
      </c>
      <c r="C1041" s="7">
        <v>1882</v>
      </c>
      <c r="D1041" s="8">
        <v>45388</v>
      </c>
      <c r="E1041" s="9" t="str">
        <f>+HYPERLINK("http://trademark.i-assist.jp/data/china/image_1882th/76164803.pdf","76164803")</f>
        <v>76164803</v>
      </c>
      <c r="F1041" s="6" t="s">
        <v>2908</v>
      </c>
      <c r="G1041" s="6" t="s">
        <v>2909</v>
      </c>
      <c r="H1041" s="8" t="s">
        <v>2910</v>
      </c>
      <c r="I1041" s="14">
        <v>45294</v>
      </c>
    </row>
    <row r="1042" spans="1:9" x14ac:dyDescent="0.15">
      <c r="A1042" s="5">
        <v>1041</v>
      </c>
      <c r="B1042" s="6" t="s">
        <v>9</v>
      </c>
      <c r="C1042" s="7">
        <v>1882</v>
      </c>
      <c r="D1042" s="8">
        <v>45388</v>
      </c>
      <c r="E1042" s="9" t="str">
        <f>+HYPERLINK("http://trademark.i-assist.jp/data/china/image_1882th/76164889.pdf","76164889")</f>
        <v>76164889</v>
      </c>
      <c r="F1042" s="6" t="s">
        <v>2911</v>
      </c>
      <c r="G1042" s="6" t="s">
        <v>2912</v>
      </c>
      <c r="H1042" s="8" t="s">
        <v>2913</v>
      </c>
      <c r="I1042" s="14">
        <v>45294</v>
      </c>
    </row>
    <row r="1043" spans="1:9" x14ac:dyDescent="0.15">
      <c r="A1043" s="5">
        <v>1042</v>
      </c>
      <c r="B1043" s="6" t="s">
        <v>9</v>
      </c>
      <c r="C1043" s="7">
        <v>1882</v>
      </c>
      <c r="D1043" s="8">
        <v>45388</v>
      </c>
      <c r="E1043" s="9" t="str">
        <f>+HYPERLINK("http://trademark.i-assist.jp/data/china/image_1882th/76164990.pdf","76164990")</f>
        <v>76164990</v>
      </c>
      <c r="F1043" s="6" t="s">
        <v>2914</v>
      </c>
      <c r="G1043" s="6" t="s">
        <v>2915</v>
      </c>
      <c r="H1043" s="8" t="s">
        <v>2916</v>
      </c>
      <c r="I1043" s="14">
        <v>45294</v>
      </c>
    </row>
    <row r="1044" spans="1:9" x14ac:dyDescent="0.15">
      <c r="A1044" s="5">
        <v>1043</v>
      </c>
      <c r="B1044" s="6" t="s">
        <v>9</v>
      </c>
      <c r="C1044" s="7">
        <v>1882</v>
      </c>
      <c r="D1044" s="8">
        <v>45388</v>
      </c>
      <c r="E1044" s="9" t="str">
        <f>+HYPERLINK("http://trademark.i-assist.jp/data/china/image_1882th/76165448.pdf","76165448")</f>
        <v>76165448</v>
      </c>
      <c r="F1044" s="6" t="s">
        <v>2917</v>
      </c>
      <c r="G1044" s="6" t="s">
        <v>2918</v>
      </c>
      <c r="H1044" s="8" t="s">
        <v>2919</v>
      </c>
      <c r="I1044" s="14">
        <v>45294</v>
      </c>
    </row>
    <row r="1045" spans="1:9" x14ac:dyDescent="0.15">
      <c r="A1045" s="5">
        <v>1044</v>
      </c>
      <c r="B1045" s="6" t="s">
        <v>9</v>
      </c>
      <c r="C1045" s="7">
        <v>1882</v>
      </c>
      <c r="D1045" s="8">
        <v>45388</v>
      </c>
      <c r="E1045" s="9" t="str">
        <f>+HYPERLINK("http://trademark.i-assist.jp/data/china/image_1882th/76165463.pdf","76165463")</f>
        <v>76165463</v>
      </c>
      <c r="F1045" s="6" t="s">
        <v>2920</v>
      </c>
      <c r="G1045" s="6" t="s">
        <v>2921</v>
      </c>
      <c r="H1045" s="8" t="s">
        <v>2922</v>
      </c>
      <c r="I1045" s="14">
        <v>45294</v>
      </c>
    </row>
    <row r="1046" spans="1:9" x14ac:dyDescent="0.15">
      <c r="A1046" s="5">
        <v>1045</v>
      </c>
      <c r="B1046" s="6" t="s">
        <v>9</v>
      </c>
      <c r="C1046" s="7">
        <v>1882</v>
      </c>
      <c r="D1046" s="8">
        <v>45388</v>
      </c>
      <c r="E1046" s="9" t="str">
        <f>+HYPERLINK("http://trademark.i-assist.jp/data/china/image_1882th/76165473.pdf","76165473")</f>
        <v>76165473</v>
      </c>
      <c r="F1046" s="6" t="s">
        <v>2923</v>
      </c>
      <c r="G1046" s="6" t="s">
        <v>2924</v>
      </c>
      <c r="H1046" s="8" t="s">
        <v>2925</v>
      </c>
      <c r="I1046" s="14">
        <v>45294</v>
      </c>
    </row>
    <row r="1047" spans="1:9" x14ac:dyDescent="0.15">
      <c r="A1047" s="5">
        <v>1046</v>
      </c>
      <c r="B1047" s="6" t="s">
        <v>9</v>
      </c>
      <c r="C1047" s="7">
        <v>1882</v>
      </c>
      <c r="D1047" s="8">
        <v>45388</v>
      </c>
      <c r="E1047" s="9" t="str">
        <f>+HYPERLINK("http://trademark.i-assist.jp/data/china/image_1882th/76165583.pdf","76165583")</f>
        <v>76165583</v>
      </c>
      <c r="F1047" s="6" t="s">
        <v>2926</v>
      </c>
      <c r="G1047" s="6" t="s">
        <v>2927</v>
      </c>
      <c r="H1047" s="8" t="s">
        <v>2928</v>
      </c>
      <c r="I1047" s="14">
        <v>45294</v>
      </c>
    </row>
    <row r="1048" spans="1:9" x14ac:dyDescent="0.15">
      <c r="A1048" s="5">
        <v>1047</v>
      </c>
      <c r="B1048" s="6" t="s">
        <v>9</v>
      </c>
      <c r="C1048" s="7">
        <v>1882</v>
      </c>
      <c r="D1048" s="8">
        <v>45388</v>
      </c>
      <c r="E1048" s="9" t="str">
        <f>+HYPERLINK("http://trademark.i-assist.jp/data/china/image_1882th/76165847.pdf","76165847")</f>
        <v>76165847</v>
      </c>
      <c r="F1048" s="6" t="s">
        <v>2929</v>
      </c>
      <c r="G1048" s="6" t="s">
        <v>1678</v>
      </c>
      <c r="H1048" s="8" t="s">
        <v>2930</v>
      </c>
      <c r="I1048" s="14">
        <v>45294</v>
      </c>
    </row>
    <row r="1049" spans="1:9" x14ac:dyDescent="0.15">
      <c r="A1049" s="5">
        <v>1048</v>
      </c>
      <c r="B1049" s="6" t="s">
        <v>9</v>
      </c>
      <c r="C1049" s="7">
        <v>1882</v>
      </c>
      <c r="D1049" s="8">
        <v>45388</v>
      </c>
      <c r="E1049" s="9" t="str">
        <f>+HYPERLINK("http://trademark.i-assist.jp/data/china/image_1882th/76165938.pdf","76165938")</f>
        <v>76165938</v>
      </c>
      <c r="F1049" s="6" t="s">
        <v>2931</v>
      </c>
      <c r="G1049" s="6" t="s">
        <v>2932</v>
      </c>
      <c r="H1049" s="8" t="s">
        <v>2933</v>
      </c>
      <c r="I1049" s="14">
        <v>45294</v>
      </c>
    </row>
    <row r="1050" spans="1:9" x14ac:dyDescent="0.15">
      <c r="A1050" s="5">
        <v>1049</v>
      </c>
      <c r="B1050" s="6" t="s">
        <v>9</v>
      </c>
      <c r="C1050" s="7">
        <v>1882</v>
      </c>
      <c r="D1050" s="8">
        <v>45388</v>
      </c>
      <c r="E1050" s="9" t="str">
        <f>+HYPERLINK("http://trademark.i-assist.jp/data/china/image_1882th/76166012.pdf","76166012")</f>
        <v>76166012</v>
      </c>
      <c r="F1050" s="6" t="s">
        <v>2934</v>
      </c>
      <c r="G1050" s="6" t="s">
        <v>2935</v>
      </c>
      <c r="H1050" s="8" t="s">
        <v>2936</v>
      </c>
      <c r="I1050" s="14">
        <v>45294</v>
      </c>
    </row>
    <row r="1051" spans="1:9" x14ac:dyDescent="0.15">
      <c r="A1051" s="5">
        <v>1050</v>
      </c>
      <c r="B1051" s="6" t="s">
        <v>9</v>
      </c>
      <c r="C1051" s="7">
        <v>1882</v>
      </c>
      <c r="D1051" s="8">
        <v>45388</v>
      </c>
      <c r="E1051" s="9" t="str">
        <f>+HYPERLINK("http://trademark.i-assist.jp/data/china/image_1882th/76166205.pdf","76166205")</f>
        <v>76166205</v>
      </c>
      <c r="F1051" s="6" t="s">
        <v>2937</v>
      </c>
      <c r="G1051" s="6" t="s">
        <v>2938</v>
      </c>
      <c r="H1051" s="8" t="s">
        <v>2939</v>
      </c>
      <c r="I1051" s="14">
        <v>45294</v>
      </c>
    </row>
    <row r="1052" spans="1:9" x14ac:dyDescent="0.15">
      <c r="A1052" s="5">
        <v>1051</v>
      </c>
      <c r="B1052" s="6" t="s">
        <v>9</v>
      </c>
      <c r="C1052" s="7">
        <v>1882</v>
      </c>
      <c r="D1052" s="8">
        <v>45388</v>
      </c>
      <c r="E1052" s="9" t="str">
        <f>+HYPERLINK("http://trademark.i-assist.jp/data/china/image_1882th/76166211.pdf","76166211")</f>
        <v>76166211</v>
      </c>
      <c r="F1052" s="6" t="s">
        <v>2940</v>
      </c>
      <c r="G1052" s="6" t="s">
        <v>2852</v>
      </c>
      <c r="H1052" s="8" t="s">
        <v>2941</v>
      </c>
      <c r="I1052" s="14">
        <v>45294</v>
      </c>
    </row>
    <row r="1053" spans="1:9" x14ac:dyDescent="0.15">
      <c r="A1053" s="5">
        <v>1052</v>
      </c>
      <c r="B1053" s="6" t="s">
        <v>9</v>
      </c>
      <c r="C1053" s="7">
        <v>1882</v>
      </c>
      <c r="D1053" s="8">
        <v>45388</v>
      </c>
      <c r="E1053" s="9" t="str">
        <f>+HYPERLINK("http://trademark.i-assist.jp/data/china/image_1882th/76166254.pdf","76166254")</f>
        <v>76166254</v>
      </c>
      <c r="F1053" s="6" t="s">
        <v>2942</v>
      </c>
      <c r="G1053" s="6" t="s">
        <v>2943</v>
      </c>
      <c r="H1053" s="8" t="s">
        <v>2944</v>
      </c>
      <c r="I1053" s="14">
        <v>45294</v>
      </c>
    </row>
    <row r="1054" spans="1:9" x14ac:dyDescent="0.15">
      <c r="A1054" s="5">
        <v>1053</v>
      </c>
      <c r="B1054" s="6" t="s">
        <v>9</v>
      </c>
      <c r="C1054" s="7">
        <v>1882</v>
      </c>
      <c r="D1054" s="8">
        <v>45388</v>
      </c>
      <c r="E1054" s="9" t="str">
        <f>+HYPERLINK("http://trademark.i-assist.jp/data/china/image_1882th/76166256.pdf","76166256")</f>
        <v>76166256</v>
      </c>
      <c r="F1054" s="6" t="s">
        <v>2945</v>
      </c>
      <c r="G1054" s="6" t="s">
        <v>2946</v>
      </c>
      <c r="H1054" s="8" t="s">
        <v>2947</v>
      </c>
      <c r="I1054" s="14">
        <v>45294</v>
      </c>
    </row>
    <row r="1055" spans="1:9" x14ac:dyDescent="0.15">
      <c r="A1055" s="5">
        <v>1054</v>
      </c>
      <c r="B1055" s="6" t="s">
        <v>9</v>
      </c>
      <c r="C1055" s="7">
        <v>1882</v>
      </c>
      <c r="D1055" s="8">
        <v>45388</v>
      </c>
      <c r="E1055" s="9" t="str">
        <f>+HYPERLINK("http://trademark.i-assist.jp/data/china/image_1882th/76166502.pdf","76166502")</f>
        <v>76166502</v>
      </c>
      <c r="F1055" s="6" t="s">
        <v>2948</v>
      </c>
      <c r="G1055" s="6" t="s">
        <v>2764</v>
      </c>
      <c r="H1055" s="8" t="s">
        <v>2949</v>
      </c>
      <c r="I1055" s="14">
        <v>45294</v>
      </c>
    </row>
    <row r="1056" spans="1:9" x14ac:dyDescent="0.15">
      <c r="A1056" s="5">
        <v>1055</v>
      </c>
      <c r="B1056" s="6" t="s">
        <v>9</v>
      </c>
      <c r="C1056" s="7">
        <v>1882</v>
      </c>
      <c r="D1056" s="8">
        <v>45388</v>
      </c>
      <c r="E1056" s="9" t="str">
        <f>+HYPERLINK("http://trademark.i-assist.jp/data/china/image_1882th/76166586.pdf","76166586")</f>
        <v>76166586</v>
      </c>
      <c r="F1056" s="6" t="s">
        <v>2950</v>
      </c>
      <c r="G1056" s="6" t="s">
        <v>2951</v>
      </c>
      <c r="H1056" s="8" t="s">
        <v>2952</v>
      </c>
      <c r="I1056" s="14">
        <v>45294</v>
      </c>
    </row>
    <row r="1057" spans="1:9" x14ac:dyDescent="0.15">
      <c r="A1057" s="5">
        <v>1056</v>
      </c>
      <c r="B1057" s="6" t="s">
        <v>9</v>
      </c>
      <c r="C1057" s="7">
        <v>1882</v>
      </c>
      <c r="D1057" s="8">
        <v>45388</v>
      </c>
      <c r="E1057" s="9" t="str">
        <f>+HYPERLINK("http://trademark.i-assist.jp/data/china/image_1882th/76166630.pdf","76166630")</f>
        <v>76166630</v>
      </c>
      <c r="F1057" s="6" t="s">
        <v>2953</v>
      </c>
      <c r="G1057" s="6" t="s">
        <v>2954</v>
      </c>
      <c r="H1057" s="8" t="s">
        <v>2955</v>
      </c>
      <c r="I1057" s="14">
        <v>45294</v>
      </c>
    </row>
    <row r="1058" spans="1:9" x14ac:dyDescent="0.15">
      <c r="A1058" s="5">
        <v>1057</v>
      </c>
      <c r="B1058" s="6" t="s">
        <v>9</v>
      </c>
      <c r="C1058" s="7">
        <v>1882</v>
      </c>
      <c r="D1058" s="8">
        <v>45388</v>
      </c>
      <c r="E1058" s="9" t="str">
        <f>+HYPERLINK("http://trademark.i-assist.jp/data/china/image_1882th/76166686.pdf","76166686")</f>
        <v>76166686</v>
      </c>
      <c r="F1058" s="6" t="s">
        <v>2956</v>
      </c>
      <c r="G1058" s="6" t="s">
        <v>2957</v>
      </c>
      <c r="H1058" s="8" t="s">
        <v>2958</v>
      </c>
      <c r="I1058" s="14">
        <v>45294</v>
      </c>
    </row>
    <row r="1059" spans="1:9" x14ac:dyDescent="0.15">
      <c r="A1059" s="5">
        <v>1058</v>
      </c>
      <c r="B1059" s="6" t="s">
        <v>9</v>
      </c>
      <c r="C1059" s="7">
        <v>1882</v>
      </c>
      <c r="D1059" s="8">
        <v>45388</v>
      </c>
      <c r="E1059" s="9" t="str">
        <f>+HYPERLINK("http://trademark.i-assist.jp/data/china/image_1882th/76166757.pdf","76166757")</f>
        <v>76166757</v>
      </c>
      <c r="F1059" s="6" t="s">
        <v>2959</v>
      </c>
      <c r="G1059" s="6" t="s">
        <v>2943</v>
      </c>
      <c r="H1059" s="8" t="s">
        <v>2960</v>
      </c>
      <c r="I1059" s="14">
        <v>45294</v>
      </c>
    </row>
    <row r="1060" spans="1:9" x14ac:dyDescent="0.15">
      <c r="A1060" s="5">
        <v>1059</v>
      </c>
      <c r="B1060" s="6" t="s">
        <v>9</v>
      </c>
      <c r="C1060" s="7">
        <v>1882</v>
      </c>
      <c r="D1060" s="8">
        <v>45388</v>
      </c>
      <c r="E1060" s="9" t="str">
        <f>+HYPERLINK("http://trademark.i-assist.jp/data/china/image_1882th/76166898.pdf","76166898")</f>
        <v>76166898</v>
      </c>
      <c r="F1060" s="6" t="s">
        <v>2961</v>
      </c>
      <c r="G1060" s="6" t="s">
        <v>2962</v>
      </c>
      <c r="H1060" s="8" t="s">
        <v>2963</v>
      </c>
      <c r="I1060" s="14">
        <v>45294</v>
      </c>
    </row>
    <row r="1061" spans="1:9" x14ac:dyDescent="0.15">
      <c r="A1061" s="5">
        <v>1060</v>
      </c>
      <c r="B1061" s="6" t="s">
        <v>9</v>
      </c>
      <c r="C1061" s="7">
        <v>1882</v>
      </c>
      <c r="D1061" s="8">
        <v>45388</v>
      </c>
      <c r="E1061" s="9" t="str">
        <f>+HYPERLINK("http://trademark.i-assist.jp/data/china/image_1882th/76166975.pdf","76166975")</f>
        <v>76166975</v>
      </c>
      <c r="F1061" s="6" t="s">
        <v>2964</v>
      </c>
      <c r="G1061" s="6" t="s">
        <v>2965</v>
      </c>
      <c r="H1061" s="8" t="s">
        <v>2966</v>
      </c>
      <c r="I1061" s="14">
        <v>45294</v>
      </c>
    </row>
    <row r="1062" spans="1:9" x14ac:dyDescent="0.15">
      <c r="A1062" s="5">
        <v>1061</v>
      </c>
      <c r="B1062" s="6" t="s">
        <v>9</v>
      </c>
      <c r="C1062" s="7">
        <v>1882</v>
      </c>
      <c r="D1062" s="8">
        <v>45388</v>
      </c>
      <c r="E1062" s="9" t="str">
        <f>+HYPERLINK("http://trademark.i-assist.jp/data/china/image_1882th/76167130.pdf","76167130")</f>
        <v>76167130</v>
      </c>
      <c r="F1062" s="6" t="s">
        <v>2967</v>
      </c>
      <c r="G1062" s="6" t="s">
        <v>2968</v>
      </c>
      <c r="H1062" s="8" t="s">
        <v>2969</v>
      </c>
      <c r="I1062" s="14">
        <v>45294</v>
      </c>
    </row>
    <row r="1063" spans="1:9" x14ac:dyDescent="0.15">
      <c r="A1063" s="5">
        <v>1062</v>
      </c>
      <c r="B1063" s="6" t="s">
        <v>9</v>
      </c>
      <c r="C1063" s="7">
        <v>1882</v>
      </c>
      <c r="D1063" s="8">
        <v>45388</v>
      </c>
      <c r="E1063" s="9" t="str">
        <f>+HYPERLINK("http://trademark.i-assist.jp/data/china/image_1882th/76167266.pdf","76167266")</f>
        <v>76167266</v>
      </c>
      <c r="F1063" s="6" t="s">
        <v>2970</v>
      </c>
      <c r="G1063" s="6" t="s">
        <v>2971</v>
      </c>
      <c r="H1063" s="8" t="s">
        <v>2972</v>
      </c>
      <c r="I1063" s="14">
        <v>45294</v>
      </c>
    </row>
    <row r="1064" spans="1:9" x14ac:dyDescent="0.15">
      <c r="A1064" s="5">
        <v>1063</v>
      </c>
      <c r="B1064" s="6" t="s">
        <v>9</v>
      </c>
      <c r="C1064" s="7">
        <v>1882</v>
      </c>
      <c r="D1064" s="8">
        <v>45388</v>
      </c>
      <c r="E1064" s="9" t="str">
        <f>+HYPERLINK("http://trademark.i-assist.jp/data/china/image_1882th/76167802.pdf","76167802")</f>
        <v>76167802</v>
      </c>
      <c r="F1064" s="6" t="s">
        <v>2973</v>
      </c>
      <c r="G1064" s="6" t="s">
        <v>2974</v>
      </c>
      <c r="H1064" s="8" t="s">
        <v>2975</v>
      </c>
      <c r="I1064" s="14">
        <v>45294</v>
      </c>
    </row>
    <row r="1065" spans="1:9" x14ac:dyDescent="0.15">
      <c r="A1065" s="5">
        <v>1064</v>
      </c>
      <c r="B1065" s="6" t="s">
        <v>9</v>
      </c>
      <c r="C1065" s="7">
        <v>1882</v>
      </c>
      <c r="D1065" s="8">
        <v>45388</v>
      </c>
      <c r="E1065" s="9" t="str">
        <f>+HYPERLINK("http://trademark.i-assist.jp/data/china/image_1882th/76167857.pdf","76167857")</f>
        <v>76167857</v>
      </c>
      <c r="F1065" s="6" t="s">
        <v>2976</v>
      </c>
      <c r="G1065" s="6" t="s">
        <v>2977</v>
      </c>
      <c r="H1065" s="8" t="s">
        <v>2978</v>
      </c>
      <c r="I1065" s="14">
        <v>45294</v>
      </c>
    </row>
    <row r="1066" spans="1:9" x14ac:dyDescent="0.15">
      <c r="A1066" s="5">
        <v>1065</v>
      </c>
      <c r="B1066" s="6" t="s">
        <v>9</v>
      </c>
      <c r="C1066" s="7">
        <v>1882</v>
      </c>
      <c r="D1066" s="8">
        <v>45388</v>
      </c>
      <c r="E1066" s="9" t="str">
        <f>+HYPERLINK("http://trademark.i-assist.jp/data/china/image_1882th/76167981.pdf","76167981")</f>
        <v>76167981</v>
      </c>
      <c r="F1066" s="6" t="s">
        <v>2979</v>
      </c>
      <c r="G1066" s="6" t="s">
        <v>2980</v>
      </c>
      <c r="H1066" s="8" t="s">
        <v>2981</v>
      </c>
      <c r="I1066" s="14">
        <v>45294</v>
      </c>
    </row>
    <row r="1067" spans="1:9" x14ac:dyDescent="0.15">
      <c r="A1067" s="5">
        <v>1066</v>
      </c>
      <c r="B1067" s="6" t="s">
        <v>9</v>
      </c>
      <c r="C1067" s="7">
        <v>1882</v>
      </c>
      <c r="D1067" s="8">
        <v>45388</v>
      </c>
      <c r="E1067" s="9" t="str">
        <f>+HYPERLINK("http://trademark.i-assist.jp/data/china/image_1882th/76168153.pdf","76168153")</f>
        <v>76168153</v>
      </c>
      <c r="F1067" s="6" t="s">
        <v>2982</v>
      </c>
      <c r="G1067" s="6" t="s">
        <v>2983</v>
      </c>
      <c r="H1067" s="8" t="s">
        <v>2984</v>
      </c>
      <c r="I1067" s="14">
        <v>45294</v>
      </c>
    </row>
    <row r="1068" spans="1:9" x14ac:dyDescent="0.15">
      <c r="A1068" s="5">
        <v>1067</v>
      </c>
      <c r="B1068" s="6" t="s">
        <v>9</v>
      </c>
      <c r="C1068" s="7">
        <v>1882</v>
      </c>
      <c r="D1068" s="8">
        <v>45388</v>
      </c>
      <c r="E1068" s="9" t="str">
        <f>+HYPERLINK("http://trademark.i-assist.jp/data/china/image_1882th/76168190.pdf","76168190")</f>
        <v>76168190</v>
      </c>
      <c r="F1068" s="6" t="s">
        <v>2985</v>
      </c>
      <c r="G1068" s="6" t="s">
        <v>2986</v>
      </c>
      <c r="H1068" s="8" t="s">
        <v>2987</v>
      </c>
      <c r="I1068" s="14">
        <v>45294</v>
      </c>
    </row>
    <row r="1069" spans="1:9" x14ac:dyDescent="0.15">
      <c r="A1069" s="5">
        <v>1068</v>
      </c>
      <c r="B1069" s="6" t="s">
        <v>9</v>
      </c>
      <c r="C1069" s="7">
        <v>1882</v>
      </c>
      <c r="D1069" s="8">
        <v>45388</v>
      </c>
      <c r="E1069" s="9" t="str">
        <f>+HYPERLINK("http://trademark.i-assist.jp/data/china/image_1882th/76168446.pdf","76168446")</f>
        <v>76168446</v>
      </c>
      <c r="F1069" s="6" t="s">
        <v>2988</v>
      </c>
      <c r="G1069" s="6" t="s">
        <v>2989</v>
      </c>
      <c r="H1069" s="8" t="s">
        <v>2990</v>
      </c>
      <c r="I1069" s="14">
        <v>45294</v>
      </c>
    </row>
    <row r="1070" spans="1:9" x14ac:dyDescent="0.15">
      <c r="A1070" s="5">
        <v>1069</v>
      </c>
      <c r="B1070" s="6" t="s">
        <v>9</v>
      </c>
      <c r="C1070" s="7">
        <v>1882</v>
      </c>
      <c r="D1070" s="8">
        <v>45388</v>
      </c>
      <c r="E1070" s="9" t="str">
        <f>+HYPERLINK("http://trademark.i-assist.jp/data/china/image_1882th/76168505.pdf","76168505")</f>
        <v>76168505</v>
      </c>
      <c r="F1070" s="6" t="s">
        <v>2991</v>
      </c>
      <c r="G1070" s="6" t="s">
        <v>2992</v>
      </c>
      <c r="H1070" s="8" t="s">
        <v>2993</v>
      </c>
      <c r="I1070" s="14">
        <v>45294</v>
      </c>
    </row>
    <row r="1071" spans="1:9" x14ac:dyDescent="0.15">
      <c r="A1071" s="5">
        <v>1070</v>
      </c>
      <c r="B1071" s="6" t="s">
        <v>9</v>
      </c>
      <c r="C1071" s="7">
        <v>1882</v>
      </c>
      <c r="D1071" s="8">
        <v>45388</v>
      </c>
      <c r="E1071" s="9" t="str">
        <f>+HYPERLINK("http://trademark.i-assist.jp/data/china/image_1882th/76168661.pdf","76168661")</f>
        <v>76168661</v>
      </c>
      <c r="F1071" s="6" t="s">
        <v>2994</v>
      </c>
      <c r="G1071" s="6" t="s">
        <v>2995</v>
      </c>
      <c r="H1071" s="8" t="s">
        <v>2996</v>
      </c>
      <c r="I1071" s="14">
        <v>45294</v>
      </c>
    </row>
    <row r="1072" spans="1:9" x14ac:dyDescent="0.15">
      <c r="A1072" s="5">
        <v>1071</v>
      </c>
      <c r="B1072" s="6" t="s">
        <v>9</v>
      </c>
      <c r="C1072" s="7">
        <v>1882</v>
      </c>
      <c r="D1072" s="8">
        <v>45388</v>
      </c>
      <c r="E1072" s="9" t="str">
        <f>+HYPERLINK("http://trademark.i-assist.jp/data/china/image_1882th/76168663.pdf","76168663")</f>
        <v>76168663</v>
      </c>
      <c r="F1072" s="6" t="s">
        <v>2997</v>
      </c>
      <c r="G1072" s="6" t="s">
        <v>2998</v>
      </c>
      <c r="H1072" s="8" t="s">
        <v>2999</v>
      </c>
      <c r="I1072" s="14">
        <v>45294</v>
      </c>
    </row>
    <row r="1073" spans="1:9" x14ac:dyDescent="0.15">
      <c r="A1073" s="5">
        <v>1072</v>
      </c>
      <c r="B1073" s="6" t="s">
        <v>9</v>
      </c>
      <c r="C1073" s="7">
        <v>1882</v>
      </c>
      <c r="D1073" s="8">
        <v>45388</v>
      </c>
      <c r="E1073" s="9" t="str">
        <f>+HYPERLINK("http://trademark.i-assist.jp/data/china/image_1882th/76168712.pdf","76168712")</f>
        <v>76168712</v>
      </c>
      <c r="F1073" s="6" t="s">
        <v>3000</v>
      </c>
      <c r="G1073" s="6" t="s">
        <v>3001</v>
      </c>
      <c r="H1073" s="8" t="s">
        <v>3002</v>
      </c>
      <c r="I1073" s="14">
        <v>45294</v>
      </c>
    </row>
    <row r="1074" spans="1:9" x14ac:dyDescent="0.15">
      <c r="A1074" s="5">
        <v>1073</v>
      </c>
      <c r="B1074" s="6" t="s">
        <v>9</v>
      </c>
      <c r="C1074" s="7">
        <v>1882</v>
      </c>
      <c r="D1074" s="8">
        <v>45388</v>
      </c>
      <c r="E1074" s="9" t="str">
        <f>+HYPERLINK("http://trademark.i-assist.jp/data/china/image_1882th/76168718.pdf","76168718")</f>
        <v>76168718</v>
      </c>
      <c r="F1074" s="6" t="s">
        <v>3003</v>
      </c>
      <c r="G1074" s="6" t="s">
        <v>3004</v>
      </c>
      <c r="H1074" s="8" t="s">
        <v>3005</v>
      </c>
      <c r="I1074" s="14">
        <v>45294</v>
      </c>
    </row>
    <row r="1075" spans="1:9" x14ac:dyDescent="0.15">
      <c r="A1075" s="5">
        <v>1074</v>
      </c>
      <c r="B1075" s="6" t="s">
        <v>9</v>
      </c>
      <c r="C1075" s="7">
        <v>1882</v>
      </c>
      <c r="D1075" s="8">
        <v>45388</v>
      </c>
      <c r="E1075" s="9" t="str">
        <f>+HYPERLINK("http://trademark.i-assist.jp/data/china/image_1882th/76168899.pdf","76168899")</f>
        <v>76168899</v>
      </c>
      <c r="F1075" s="6" t="s">
        <v>3006</v>
      </c>
      <c r="G1075" s="6" t="s">
        <v>3007</v>
      </c>
      <c r="H1075" s="8" t="s">
        <v>3008</v>
      </c>
      <c r="I1075" s="14">
        <v>45294</v>
      </c>
    </row>
    <row r="1076" spans="1:9" x14ac:dyDescent="0.15">
      <c r="A1076" s="5">
        <v>1075</v>
      </c>
      <c r="B1076" s="6" t="s">
        <v>9</v>
      </c>
      <c r="C1076" s="7">
        <v>1882</v>
      </c>
      <c r="D1076" s="8">
        <v>45388</v>
      </c>
      <c r="E1076" s="9" t="str">
        <f>+HYPERLINK("http://trademark.i-assist.jp/data/china/image_1882th/76169020.pdf","76169020")</f>
        <v>76169020</v>
      </c>
      <c r="F1076" s="6" t="s">
        <v>3009</v>
      </c>
      <c r="G1076" s="6" t="s">
        <v>3010</v>
      </c>
      <c r="H1076" s="8" t="s">
        <v>3011</v>
      </c>
      <c r="I1076" s="14">
        <v>45294</v>
      </c>
    </row>
    <row r="1077" spans="1:9" x14ac:dyDescent="0.15">
      <c r="A1077" s="5">
        <v>1076</v>
      </c>
      <c r="B1077" s="6" t="s">
        <v>9</v>
      </c>
      <c r="C1077" s="7">
        <v>1882</v>
      </c>
      <c r="D1077" s="8">
        <v>45388</v>
      </c>
      <c r="E1077" s="9" t="str">
        <f>+HYPERLINK("http://trademark.i-assist.jp/data/china/image_1882th/76169210.pdf","76169210")</f>
        <v>76169210</v>
      </c>
      <c r="F1077" s="6" t="s">
        <v>3012</v>
      </c>
      <c r="G1077" s="6" t="s">
        <v>1740</v>
      </c>
      <c r="H1077" s="8" t="s">
        <v>3013</v>
      </c>
      <c r="I1077" s="14">
        <v>45294</v>
      </c>
    </row>
    <row r="1078" spans="1:9" x14ac:dyDescent="0.15">
      <c r="A1078" s="5">
        <v>1077</v>
      </c>
      <c r="B1078" s="6" t="s">
        <v>9</v>
      </c>
      <c r="C1078" s="7">
        <v>1882</v>
      </c>
      <c r="D1078" s="8">
        <v>45388</v>
      </c>
      <c r="E1078" s="9" t="str">
        <f>+HYPERLINK("http://trademark.i-assist.jp/data/china/image_1882th/76169306.pdf","76169306")</f>
        <v>76169306</v>
      </c>
      <c r="F1078" s="6" t="s">
        <v>3014</v>
      </c>
      <c r="G1078" s="6" t="s">
        <v>3015</v>
      </c>
      <c r="H1078" s="8" t="s">
        <v>3016</v>
      </c>
      <c r="I1078" s="14">
        <v>45294</v>
      </c>
    </row>
    <row r="1079" spans="1:9" x14ac:dyDescent="0.15">
      <c r="A1079" s="5">
        <v>1078</v>
      </c>
      <c r="B1079" s="6" t="s">
        <v>9</v>
      </c>
      <c r="C1079" s="7">
        <v>1882</v>
      </c>
      <c r="D1079" s="8">
        <v>45388</v>
      </c>
      <c r="E1079" s="9" t="str">
        <f>+HYPERLINK("http://trademark.i-assist.jp/data/china/image_1882th/76170130.pdf","76170130")</f>
        <v>76170130</v>
      </c>
      <c r="F1079" s="6" t="s">
        <v>3017</v>
      </c>
      <c r="G1079" s="6" t="s">
        <v>3018</v>
      </c>
      <c r="H1079" s="8" t="s">
        <v>3019</v>
      </c>
      <c r="I1079" s="14">
        <v>45294</v>
      </c>
    </row>
    <row r="1080" spans="1:9" x14ac:dyDescent="0.15">
      <c r="A1080" s="5">
        <v>1079</v>
      </c>
      <c r="B1080" s="6" t="s">
        <v>9</v>
      </c>
      <c r="C1080" s="7">
        <v>1882</v>
      </c>
      <c r="D1080" s="8">
        <v>45388</v>
      </c>
      <c r="E1080" s="9" t="str">
        <f>+HYPERLINK("http://trademark.i-assist.jp/data/china/image_1882th/76170201.pdf","76170201")</f>
        <v>76170201</v>
      </c>
      <c r="F1080" s="6" t="s">
        <v>3020</v>
      </c>
      <c r="G1080" s="6" t="s">
        <v>3021</v>
      </c>
      <c r="H1080" s="8" t="s">
        <v>3022</v>
      </c>
      <c r="I1080" s="14">
        <v>45294</v>
      </c>
    </row>
    <row r="1081" spans="1:9" x14ac:dyDescent="0.15">
      <c r="A1081" s="5">
        <v>1080</v>
      </c>
      <c r="B1081" s="6" t="s">
        <v>9</v>
      </c>
      <c r="C1081" s="7">
        <v>1882</v>
      </c>
      <c r="D1081" s="8">
        <v>45388</v>
      </c>
      <c r="E1081" s="9" t="str">
        <f>+HYPERLINK("http://trademark.i-assist.jp/data/china/image_1882th/76170248.pdf","76170248")</f>
        <v>76170248</v>
      </c>
      <c r="F1081" s="6" t="s">
        <v>3023</v>
      </c>
      <c r="G1081" s="6" t="s">
        <v>3024</v>
      </c>
      <c r="H1081" s="8" t="s">
        <v>3025</v>
      </c>
      <c r="I1081" s="14">
        <v>45294</v>
      </c>
    </row>
    <row r="1082" spans="1:9" x14ac:dyDescent="0.15">
      <c r="A1082" s="5">
        <v>1081</v>
      </c>
      <c r="B1082" s="6" t="s">
        <v>9</v>
      </c>
      <c r="C1082" s="7">
        <v>1882</v>
      </c>
      <c r="D1082" s="8">
        <v>45388</v>
      </c>
      <c r="E1082" s="9" t="str">
        <f>+HYPERLINK("http://trademark.i-assist.jp/data/china/image_1882th/76170495.pdf","76170495")</f>
        <v>76170495</v>
      </c>
      <c r="F1082" s="6" t="s">
        <v>3026</v>
      </c>
      <c r="G1082" s="6" t="s">
        <v>3027</v>
      </c>
      <c r="H1082" s="8" t="s">
        <v>3028</v>
      </c>
      <c r="I1082" s="14">
        <v>45294</v>
      </c>
    </row>
    <row r="1083" spans="1:9" x14ac:dyDescent="0.15">
      <c r="A1083" s="5">
        <v>1082</v>
      </c>
      <c r="B1083" s="6" t="s">
        <v>9</v>
      </c>
      <c r="C1083" s="7">
        <v>1882</v>
      </c>
      <c r="D1083" s="8">
        <v>45388</v>
      </c>
      <c r="E1083" s="9" t="str">
        <f>+HYPERLINK("http://trademark.i-assist.jp/data/china/image_1882th/76170592.pdf","76170592")</f>
        <v>76170592</v>
      </c>
      <c r="F1083" s="6" t="s">
        <v>3029</v>
      </c>
      <c r="G1083" s="6" t="s">
        <v>3030</v>
      </c>
      <c r="H1083" s="8" t="s">
        <v>3031</v>
      </c>
      <c r="I1083" s="14">
        <v>45294</v>
      </c>
    </row>
    <row r="1084" spans="1:9" x14ac:dyDescent="0.15">
      <c r="A1084" s="5">
        <v>1083</v>
      </c>
      <c r="B1084" s="6" t="s">
        <v>9</v>
      </c>
      <c r="C1084" s="7">
        <v>1882</v>
      </c>
      <c r="D1084" s="8">
        <v>45388</v>
      </c>
      <c r="E1084" s="9" t="str">
        <f>+HYPERLINK("http://trademark.i-assist.jp/data/china/image_1882th/76170764.pdf","76170764")</f>
        <v>76170764</v>
      </c>
      <c r="F1084" s="6" t="s">
        <v>3032</v>
      </c>
      <c r="G1084" s="6" t="s">
        <v>3033</v>
      </c>
      <c r="H1084" s="8" t="s">
        <v>3034</v>
      </c>
      <c r="I1084" s="14">
        <v>45294</v>
      </c>
    </row>
    <row r="1085" spans="1:9" x14ac:dyDescent="0.15">
      <c r="A1085" s="5">
        <v>1084</v>
      </c>
      <c r="B1085" s="6" t="s">
        <v>9</v>
      </c>
      <c r="C1085" s="7">
        <v>1882</v>
      </c>
      <c r="D1085" s="8">
        <v>45388</v>
      </c>
      <c r="E1085" s="9" t="str">
        <f>+HYPERLINK("http://trademark.i-assist.jp/data/china/image_1882th/76170772.pdf","76170772")</f>
        <v>76170772</v>
      </c>
      <c r="F1085" s="6" t="s">
        <v>3035</v>
      </c>
      <c r="G1085" s="6" t="s">
        <v>3036</v>
      </c>
      <c r="H1085" s="8" t="s">
        <v>3037</v>
      </c>
      <c r="I1085" s="14">
        <v>45294</v>
      </c>
    </row>
    <row r="1086" spans="1:9" x14ac:dyDescent="0.15">
      <c r="A1086" s="5">
        <v>1085</v>
      </c>
      <c r="B1086" s="6" t="s">
        <v>9</v>
      </c>
      <c r="C1086" s="7">
        <v>1882</v>
      </c>
      <c r="D1086" s="8">
        <v>45388</v>
      </c>
      <c r="E1086" s="9" t="str">
        <f>+HYPERLINK("http://trademark.i-assist.jp/data/china/image_1882th/76170807.pdf","76170807")</f>
        <v>76170807</v>
      </c>
      <c r="F1086" s="6" t="s">
        <v>3038</v>
      </c>
      <c r="G1086" s="6" t="s">
        <v>3039</v>
      </c>
      <c r="H1086" s="8" t="s">
        <v>3040</v>
      </c>
      <c r="I1086" s="14">
        <v>45294</v>
      </c>
    </row>
    <row r="1087" spans="1:9" x14ac:dyDescent="0.15">
      <c r="A1087" s="5">
        <v>1086</v>
      </c>
      <c r="B1087" s="6" t="s">
        <v>9</v>
      </c>
      <c r="C1087" s="7">
        <v>1882</v>
      </c>
      <c r="D1087" s="8">
        <v>45388</v>
      </c>
      <c r="E1087" s="9" t="str">
        <f>+HYPERLINK("http://trademark.i-assist.jp/data/china/image_1882th/76170933.pdf","76170933")</f>
        <v>76170933</v>
      </c>
      <c r="F1087" s="6" t="s">
        <v>3041</v>
      </c>
      <c r="G1087" s="6" t="s">
        <v>3042</v>
      </c>
      <c r="H1087" s="8" t="s">
        <v>3043</v>
      </c>
      <c r="I1087" s="14">
        <v>45294</v>
      </c>
    </row>
    <row r="1088" spans="1:9" x14ac:dyDescent="0.15">
      <c r="A1088" s="5">
        <v>1087</v>
      </c>
      <c r="B1088" s="6" t="s">
        <v>9</v>
      </c>
      <c r="C1088" s="7">
        <v>1882</v>
      </c>
      <c r="D1088" s="8">
        <v>45388</v>
      </c>
      <c r="E1088" s="9" t="str">
        <f>+HYPERLINK("http://trademark.i-assist.jp/data/china/image_1882th/76171253.pdf","76171253")</f>
        <v>76171253</v>
      </c>
      <c r="F1088" s="6" t="s">
        <v>3044</v>
      </c>
      <c r="G1088" s="6" t="s">
        <v>3045</v>
      </c>
      <c r="H1088" s="8" t="s">
        <v>3046</v>
      </c>
      <c r="I1088" s="14">
        <v>45294</v>
      </c>
    </row>
    <row r="1089" spans="1:9" x14ac:dyDescent="0.15">
      <c r="A1089" s="5">
        <v>1088</v>
      </c>
      <c r="B1089" s="6" t="s">
        <v>9</v>
      </c>
      <c r="C1089" s="7">
        <v>1882</v>
      </c>
      <c r="D1089" s="8">
        <v>45388</v>
      </c>
      <c r="E1089" s="9" t="str">
        <f>+HYPERLINK("http://trademark.i-assist.jp/data/china/image_1882th/76171393.pdf","76171393")</f>
        <v>76171393</v>
      </c>
      <c r="F1089" s="6" t="s">
        <v>3047</v>
      </c>
      <c r="G1089" s="6" t="s">
        <v>2935</v>
      </c>
      <c r="H1089" s="8" t="s">
        <v>3048</v>
      </c>
      <c r="I1089" s="14">
        <v>45294</v>
      </c>
    </row>
    <row r="1090" spans="1:9" x14ac:dyDescent="0.15">
      <c r="A1090" s="5">
        <v>1089</v>
      </c>
      <c r="B1090" s="6" t="s">
        <v>9</v>
      </c>
      <c r="C1090" s="7">
        <v>1882</v>
      </c>
      <c r="D1090" s="8">
        <v>45388</v>
      </c>
      <c r="E1090" s="9" t="str">
        <f>+HYPERLINK("http://trademark.i-assist.jp/data/china/image_1882th/76171632.pdf","76171632")</f>
        <v>76171632</v>
      </c>
      <c r="F1090" s="6" t="s">
        <v>3049</v>
      </c>
      <c r="G1090" s="6" t="s">
        <v>2906</v>
      </c>
      <c r="H1090" s="8" t="s">
        <v>3050</v>
      </c>
      <c r="I1090" s="14">
        <v>45294</v>
      </c>
    </row>
    <row r="1091" spans="1:9" x14ac:dyDescent="0.15">
      <c r="A1091" s="5">
        <v>1090</v>
      </c>
      <c r="B1091" s="6" t="s">
        <v>9</v>
      </c>
      <c r="C1091" s="7">
        <v>1882</v>
      </c>
      <c r="D1091" s="8">
        <v>45388</v>
      </c>
      <c r="E1091" s="9" t="str">
        <f>+HYPERLINK("http://trademark.i-assist.jp/data/china/image_1882th/76171678.pdf","76171678")</f>
        <v>76171678</v>
      </c>
      <c r="F1091" s="6" t="s">
        <v>3051</v>
      </c>
      <c r="G1091" s="6" t="s">
        <v>3052</v>
      </c>
      <c r="H1091" s="8" t="s">
        <v>3053</v>
      </c>
      <c r="I1091" s="14">
        <v>45294</v>
      </c>
    </row>
    <row r="1092" spans="1:9" x14ac:dyDescent="0.15">
      <c r="A1092" s="5">
        <v>1091</v>
      </c>
      <c r="B1092" s="6" t="s">
        <v>9</v>
      </c>
      <c r="C1092" s="7">
        <v>1882</v>
      </c>
      <c r="D1092" s="8">
        <v>45388</v>
      </c>
      <c r="E1092" s="9" t="str">
        <f>+HYPERLINK("http://trademark.i-assist.jp/data/china/image_1882th/76171766.pdf","76171766")</f>
        <v>76171766</v>
      </c>
      <c r="F1092" s="6" t="s">
        <v>3054</v>
      </c>
      <c r="G1092" s="6" t="s">
        <v>138</v>
      </c>
      <c r="H1092" s="8" t="s">
        <v>3055</v>
      </c>
      <c r="I1092" s="14">
        <v>45294</v>
      </c>
    </row>
    <row r="1093" spans="1:9" x14ac:dyDescent="0.15">
      <c r="A1093" s="5">
        <v>1092</v>
      </c>
      <c r="B1093" s="6" t="s">
        <v>9</v>
      </c>
      <c r="C1093" s="7">
        <v>1882</v>
      </c>
      <c r="D1093" s="8">
        <v>45388</v>
      </c>
      <c r="E1093" s="9" t="str">
        <f>+HYPERLINK("http://trademark.i-assist.jp/data/china/image_1882th/76171810.pdf","76171810")</f>
        <v>76171810</v>
      </c>
      <c r="F1093" s="6" t="s">
        <v>3056</v>
      </c>
      <c r="G1093" s="6" t="s">
        <v>3057</v>
      </c>
      <c r="H1093" s="8" t="s">
        <v>3058</v>
      </c>
      <c r="I1093" s="14">
        <v>45294</v>
      </c>
    </row>
    <row r="1094" spans="1:9" x14ac:dyDescent="0.15">
      <c r="A1094" s="5">
        <v>1093</v>
      </c>
      <c r="B1094" s="6" t="s">
        <v>9</v>
      </c>
      <c r="C1094" s="7">
        <v>1882</v>
      </c>
      <c r="D1094" s="8">
        <v>45388</v>
      </c>
      <c r="E1094" s="9" t="str">
        <f>+HYPERLINK("http://trademark.i-assist.jp/data/china/image_1882th/76171877.pdf","76171877")</f>
        <v>76171877</v>
      </c>
      <c r="F1094" s="6" t="s">
        <v>3059</v>
      </c>
      <c r="G1094" s="6" t="s">
        <v>3060</v>
      </c>
      <c r="H1094" s="8" t="s">
        <v>3061</v>
      </c>
      <c r="I1094" s="14">
        <v>45294</v>
      </c>
    </row>
    <row r="1095" spans="1:9" x14ac:dyDescent="0.15">
      <c r="A1095" s="5">
        <v>1094</v>
      </c>
      <c r="B1095" s="6" t="s">
        <v>9</v>
      </c>
      <c r="C1095" s="7">
        <v>1882</v>
      </c>
      <c r="D1095" s="8">
        <v>45388</v>
      </c>
      <c r="E1095" s="9" t="str">
        <f>+HYPERLINK("http://trademark.i-assist.jp/data/china/image_1882th/76171916.pdf","76171916")</f>
        <v>76171916</v>
      </c>
      <c r="F1095" s="6" t="s">
        <v>3062</v>
      </c>
      <c r="G1095" s="6" t="s">
        <v>3063</v>
      </c>
      <c r="H1095" s="8" t="s">
        <v>3064</v>
      </c>
      <c r="I1095" s="14">
        <v>45294</v>
      </c>
    </row>
    <row r="1096" spans="1:9" x14ac:dyDescent="0.15">
      <c r="A1096" s="5">
        <v>1095</v>
      </c>
      <c r="B1096" s="6" t="s">
        <v>9</v>
      </c>
      <c r="C1096" s="7">
        <v>1882</v>
      </c>
      <c r="D1096" s="8">
        <v>45388</v>
      </c>
      <c r="E1096" s="9" t="str">
        <f>+HYPERLINK("http://trademark.i-assist.jp/data/china/image_1882th/76171993.pdf","76171993")</f>
        <v>76171993</v>
      </c>
      <c r="F1096" s="6" t="s">
        <v>3065</v>
      </c>
      <c r="G1096" s="6" t="s">
        <v>3066</v>
      </c>
      <c r="H1096" s="8" t="s">
        <v>3067</v>
      </c>
      <c r="I1096" s="14">
        <v>45294</v>
      </c>
    </row>
    <row r="1097" spans="1:9" x14ac:dyDescent="0.15">
      <c r="A1097" s="5">
        <v>1096</v>
      </c>
      <c r="B1097" s="6" t="s">
        <v>9</v>
      </c>
      <c r="C1097" s="7">
        <v>1882</v>
      </c>
      <c r="D1097" s="8">
        <v>45388</v>
      </c>
      <c r="E1097" s="9" t="str">
        <f>+HYPERLINK("http://trademark.i-assist.jp/data/china/image_1882th/76172000.pdf","76172000")</f>
        <v>76172000</v>
      </c>
      <c r="F1097" s="6" t="s">
        <v>3068</v>
      </c>
      <c r="G1097" s="6" t="s">
        <v>3069</v>
      </c>
      <c r="H1097" s="8" t="s">
        <v>3070</v>
      </c>
      <c r="I1097" s="14">
        <v>45294</v>
      </c>
    </row>
    <row r="1098" spans="1:9" x14ac:dyDescent="0.15">
      <c r="A1098" s="5">
        <v>1097</v>
      </c>
      <c r="B1098" s="6" t="s">
        <v>9</v>
      </c>
      <c r="C1098" s="7">
        <v>1882</v>
      </c>
      <c r="D1098" s="8">
        <v>45388</v>
      </c>
      <c r="E1098" s="9" t="str">
        <f>+HYPERLINK("http://trademark.i-assist.jp/data/china/image_1882th/76172342.pdf","76172342")</f>
        <v>76172342</v>
      </c>
      <c r="F1098" s="6" t="s">
        <v>3071</v>
      </c>
      <c r="G1098" s="6" t="s">
        <v>3072</v>
      </c>
      <c r="H1098" s="8" t="s">
        <v>3073</v>
      </c>
      <c r="I1098" s="14">
        <v>45294</v>
      </c>
    </row>
    <row r="1099" spans="1:9" x14ac:dyDescent="0.15">
      <c r="A1099" s="5">
        <v>1098</v>
      </c>
      <c r="B1099" s="6" t="s">
        <v>9</v>
      </c>
      <c r="C1099" s="7">
        <v>1882</v>
      </c>
      <c r="D1099" s="8">
        <v>45388</v>
      </c>
      <c r="E1099" s="9" t="str">
        <f>+HYPERLINK("http://trademark.i-assist.jp/data/china/image_1882th/76172759.pdf","76172759")</f>
        <v>76172759</v>
      </c>
      <c r="F1099" s="6" t="s">
        <v>3074</v>
      </c>
      <c r="G1099" s="6" t="s">
        <v>2764</v>
      </c>
      <c r="H1099" s="8" t="s">
        <v>3075</v>
      </c>
      <c r="I1099" s="14">
        <v>45294</v>
      </c>
    </row>
    <row r="1100" spans="1:9" x14ac:dyDescent="0.15">
      <c r="A1100" s="5">
        <v>1099</v>
      </c>
      <c r="B1100" s="6" t="s">
        <v>9</v>
      </c>
      <c r="C1100" s="7">
        <v>1882</v>
      </c>
      <c r="D1100" s="8">
        <v>45388</v>
      </c>
      <c r="E1100" s="9" t="str">
        <f>+HYPERLINK("http://trademark.i-assist.jp/data/china/image_1882th/76172969.pdf","76172969")</f>
        <v>76172969</v>
      </c>
      <c r="F1100" s="6" t="s">
        <v>3076</v>
      </c>
      <c r="G1100" s="6" t="s">
        <v>3077</v>
      </c>
      <c r="H1100" s="8" t="s">
        <v>3078</v>
      </c>
      <c r="I1100" s="14">
        <v>45294</v>
      </c>
    </row>
    <row r="1101" spans="1:9" x14ac:dyDescent="0.15">
      <c r="A1101" s="5">
        <v>1100</v>
      </c>
      <c r="B1101" s="6" t="s">
        <v>9</v>
      </c>
      <c r="C1101" s="7">
        <v>1882</v>
      </c>
      <c r="D1101" s="8">
        <v>45388</v>
      </c>
      <c r="E1101" s="9" t="str">
        <f>+HYPERLINK("http://trademark.i-assist.jp/data/china/image_1882th/76172974.pdf","76172974")</f>
        <v>76172974</v>
      </c>
      <c r="F1101" s="6" t="s">
        <v>3079</v>
      </c>
      <c r="G1101" s="6" t="s">
        <v>3080</v>
      </c>
      <c r="H1101" s="8" t="s">
        <v>3081</v>
      </c>
      <c r="I1101" s="14">
        <v>45294</v>
      </c>
    </row>
    <row r="1102" spans="1:9" x14ac:dyDescent="0.15">
      <c r="A1102" s="5">
        <v>1101</v>
      </c>
      <c r="B1102" s="6" t="s">
        <v>9</v>
      </c>
      <c r="C1102" s="7">
        <v>1882</v>
      </c>
      <c r="D1102" s="8">
        <v>45388</v>
      </c>
      <c r="E1102" s="9" t="str">
        <f>+HYPERLINK("http://trademark.i-assist.jp/data/china/image_1882th/76173381.pdf","76173381")</f>
        <v>76173381</v>
      </c>
      <c r="F1102" s="6" t="s">
        <v>3082</v>
      </c>
      <c r="G1102" s="6" t="s">
        <v>3083</v>
      </c>
      <c r="H1102" s="8" t="s">
        <v>3084</v>
      </c>
      <c r="I1102" s="14">
        <v>45294</v>
      </c>
    </row>
    <row r="1103" spans="1:9" x14ac:dyDescent="0.15">
      <c r="A1103" s="5">
        <v>1102</v>
      </c>
      <c r="B1103" s="6" t="s">
        <v>9</v>
      </c>
      <c r="C1103" s="7">
        <v>1882</v>
      </c>
      <c r="D1103" s="8">
        <v>45388</v>
      </c>
      <c r="E1103" s="9" t="str">
        <f>+HYPERLINK("http://trademark.i-assist.jp/data/china/image_1882th/76173790.pdf","76173790")</f>
        <v>76173790</v>
      </c>
      <c r="F1103" s="6" t="s">
        <v>3085</v>
      </c>
      <c r="G1103" s="6" t="s">
        <v>3086</v>
      </c>
      <c r="H1103" s="8" t="s">
        <v>3087</v>
      </c>
      <c r="I1103" s="14">
        <v>45294</v>
      </c>
    </row>
    <row r="1104" spans="1:9" x14ac:dyDescent="0.15">
      <c r="A1104" s="5">
        <v>1103</v>
      </c>
      <c r="B1104" s="6" t="s">
        <v>9</v>
      </c>
      <c r="C1104" s="7">
        <v>1882</v>
      </c>
      <c r="D1104" s="8">
        <v>45388</v>
      </c>
      <c r="E1104" s="9" t="str">
        <f>+HYPERLINK("http://trademark.i-assist.jp/data/china/image_1882th/76173914.pdf","76173914")</f>
        <v>76173914</v>
      </c>
      <c r="F1104" s="6" t="s">
        <v>3088</v>
      </c>
      <c r="G1104" s="6" t="s">
        <v>3089</v>
      </c>
      <c r="H1104" s="8" t="s">
        <v>3090</v>
      </c>
      <c r="I1104" s="14">
        <v>45294</v>
      </c>
    </row>
    <row r="1105" spans="1:9" x14ac:dyDescent="0.15">
      <c r="A1105" s="5">
        <v>1104</v>
      </c>
      <c r="B1105" s="6" t="s">
        <v>9</v>
      </c>
      <c r="C1105" s="7">
        <v>1882</v>
      </c>
      <c r="D1105" s="8">
        <v>45388</v>
      </c>
      <c r="E1105" s="9" t="str">
        <f>+HYPERLINK("http://trademark.i-assist.jp/data/china/image_1882th/76173946.pdf","76173946")</f>
        <v>76173946</v>
      </c>
      <c r="F1105" s="6" t="s">
        <v>3091</v>
      </c>
      <c r="G1105" s="6" t="s">
        <v>3092</v>
      </c>
      <c r="H1105" s="8" t="s">
        <v>3093</v>
      </c>
      <c r="I1105" s="14">
        <v>45294</v>
      </c>
    </row>
    <row r="1106" spans="1:9" x14ac:dyDescent="0.15">
      <c r="A1106" s="5">
        <v>1105</v>
      </c>
      <c r="B1106" s="6" t="s">
        <v>9</v>
      </c>
      <c r="C1106" s="7">
        <v>1882</v>
      </c>
      <c r="D1106" s="8">
        <v>45388</v>
      </c>
      <c r="E1106" s="9" t="str">
        <f>+HYPERLINK("http://trademark.i-assist.jp/data/china/image_1882th/76174068.pdf","76174068")</f>
        <v>76174068</v>
      </c>
      <c r="F1106" s="6" t="s">
        <v>3094</v>
      </c>
      <c r="G1106" s="6" t="s">
        <v>3095</v>
      </c>
      <c r="H1106" s="8" t="s">
        <v>3096</v>
      </c>
      <c r="I1106" s="14">
        <v>45294</v>
      </c>
    </row>
    <row r="1107" spans="1:9" x14ac:dyDescent="0.15">
      <c r="A1107" s="5">
        <v>1106</v>
      </c>
      <c r="B1107" s="6" t="s">
        <v>9</v>
      </c>
      <c r="C1107" s="7">
        <v>1882</v>
      </c>
      <c r="D1107" s="8">
        <v>45388</v>
      </c>
      <c r="E1107" s="9" t="str">
        <f>+HYPERLINK("http://trademark.i-assist.jp/data/china/image_1882th/76174181.pdf","76174181")</f>
        <v>76174181</v>
      </c>
      <c r="F1107" s="6" t="s">
        <v>3097</v>
      </c>
      <c r="G1107" s="6" t="s">
        <v>3098</v>
      </c>
      <c r="H1107" s="8" t="s">
        <v>3099</v>
      </c>
      <c r="I1107" s="14">
        <v>45294</v>
      </c>
    </row>
    <row r="1108" spans="1:9" x14ac:dyDescent="0.15">
      <c r="A1108" s="5">
        <v>1107</v>
      </c>
      <c r="B1108" s="6" t="s">
        <v>9</v>
      </c>
      <c r="C1108" s="7">
        <v>1882</v>
      </c>
      <c r="D1108" s="8">
        <v>45388</v>
      </c>
      <c r="E1108" s="9" t="str">
        <f>+HYPERLINK("http://trademark.i-assist.jp/data/china/image_1882th/76174249.pdf","76174249")</f>
        <v>76174249</v>
      </c>
      <c r="F1108" s="6" t="s">
        <v>26</v>
      </c>
      <c r="G1108" s="6" t="s">
        <v>3100</v>
      </c>
      <c r="H1108" s="8" t="s">
        <v>3101</v>
      </c>
      <c r="I1108" s="14">
        <v>45294</v>
      </c>
    </row>
    <row r="1109" spans="1:9" x14ac:dyDescent="0.15">
      <c r="A1109" s="5">
        <v>1108</v>
      </c>
      <c r="B1109" s="6" t="s">
        <v>9</v>
      </c>
      <c r="C1109" s="7">
        <v>1882</v>
      </c>
      <c r="D1109" s="8">
        <v>45388</v>
      </c>
      <c r="E1109" s="9" t="str">
        <f>+HYPERLINK("http://trademark.i-assist.jp/data/china/image_1882th/76174494.pdf","76174494")</f>
        <v>76174494</v>
      </c>
      <c r="F1109" s="6" t="s">
        <v>3102</v>
      </c>
      <c r="G1109" s="6" t="s">
        <v>3103</v>
      </c>
      <c r="H1109" s="8" t="s">
        <v>3104</v>
      </c>
      <c r="I1109" s="14">
        <v>45294</v>
      </c>
    </row>
    <row r="1110" spans="1:9" x14ac:dyDescent="0.15">
      <c r="A1110" s="5">
        <v>1109</v>
      </c>
      <c r="B1110" s="6" t="s">
        <v>9</v>
      </c>
      <c r="C1110" s="7">
        <v>1882</v>
      </c>
      <c r="D1110" s="8">
        <v>45388</v>
      </c>
      <c r="E1110" s="9" t="str">
        <f>+HYPERLINK("http://trademark.i-assist.jp/data/china/image_1882th/76174629.pdf","76174629")</f>
        <v>76174629</v>
      </c>
      <c r="F1110" s="6" t="s">
        <v>3105</v>
      </c>
      <c r="G1110" s="6" t="s">
        <v>1051</v>
      </c>
      <c r="H1110" s="8" t="s">
        <v>3106</v>
      </c>
      <c r="I1110" s="14">
        <v>45294</v>
      </c>
    </row>
    <row r="1111" spans="1:9" x14ac:dyDescent="0.15">
      <c r="A1111" s="5">
        <v>1110</v>
      </c>
      <c r="B1111" s="6" t="s">
        <v>9</v>
      </c>
      <c r="C1111" s="7">
        <v>1882</v>
      </c>
      <c r="D1111" s="8">
        <v>45388</v>
      </c>
      <c r="E1111" s="9" t="str">
        <f>+HYPERLINK("http://trademark.i-assist.jp/data/china/image_1882th/76174808.pdf","76174808")</f>
        <v>76174808</v>
      </c>
      <c r="F1111" s="6" t="s">
        <v>3107</v>
      </c>
      <c r="G1111" s="6" t="s">
        <v>3108</v>
      </c>
      <c r="H1111" s="8" t="s">
        <v>3109</v>
      </c>
      <c r="I1111" s="14">
        <v>45294</v>
      </c>
    </row>
    <row r="1112" spans="1:9" x14ac:dyDescent="0.15">
      <c r="A1112" s="5">
        <v>1111</v>
      </c>
      <c r="B1112" s="6" t="s">
        <v>9</v>
      </c>
      <c r="C1112" s="7">
        <v>1882</v>
      </c>
      <c r="D1112" s="8">
        <v>45388</v>
      </c>
      <c r="E1112" s="9" t="str">
        <f>+HYPERLINK("http://trademark.i-assist.jp/data/china/image_1882th/76174934.pdf","76174934")</f>
        <v>76174934</v>
      </c>
      <c r="F1112" s="6" t="s">
        <v>3110</v>
      </c>
      <c r="G1112" s="6" t="s">
        <v>1266</v>
      </c>
      <c r="H1112" s="8" t="s">
        <v>3111</v>
      </c>
      <c r="I1112" s="14">
        <v>45294</v>
      </c>
    </row>
    <row r="1113" spans="1:9" x14ac:dyDescent="0.15">
      <c r="A1113" s="5">
        <v>1112</v>
      </c>
      <c r="B1113" s="6" t="s">
        <v>9</v>
      </c>
      <c r="C1113" s="7">
        <v>1882</v>
      </c>
      <c r="D1113" s="8">
        <v>45388</v>
      </c>
      <c r="E1113" s="9" t="str">
        <f>+HYPERLINK("http://trademark.i-assist.jp/data/china/image_1882th/76174969.pdf","76174969")</f>
        <v>76174969</v>
      </c>
      <c r="F1113" s="6" t="s">
        <v>3112</v>
      </c>
      <c r="G1113" s="6" t="s">
        <v>3113</v>
      </c>
      <c r="H1113" s="8" t="s">
        <v>3114</v>
      </c>
      <c r="I1113" s="14">
        <v>45294</v>
      </c>
    </row>
    <row r="1114" spans="1:9" x14ac:dyDescent="0.15">
      <c r="A1114" s="5">
        <v>1113</v>
      </c>
      <c r="B1114" s="6" t="s">
        <v>9</v>
      </c>
      <c r="C1114" s="7">
        <v>1882</v>
      </c>
      <c r="D1114" s="8">
        <v>45388</v>
      </c>
      <c r="E1114" s="9" t="str">
        <f>+HYPERLINK("http://trademark.i-assist.jp/data/china/image_1882th/76175068.pdf","76175068")</f>
        <v>76175068</v>
      </c>
      <c r="F1114" s="6" t="s">
        <v>3115</v>
      </c>
      <c r="G1114" s="6" t="s">
        <v>2897</v>
      </c>
      <c r="H1114" s="8" t="s">
        <v>3116</v>
      </c>
      <c r="I1114" s="14">
        <v>45294</v>
      </c>
    </row>
    <row r="1115" spans="1:9" x14ac:dyDescent="0.15">
      <c r="A1115" s="5">
        <v>1114</v>
      </c>
      <c r="B1115" s="6" t="s">
        <v>9</v>
      </c>
      <c r="C1115" s="7">
        <v>1882</v>
      </c>
      <c r="D1115" s="8">
        <v>45388</v>
      </c>
      <c r="E1115" s="9" t="str">
        <f>+HYPERLINK("http://trademark.i-assist.jp/data/china/image_1882th/76175467.pdf","76175467")</f>
        <v>76175467</v>
      </c>
      <c r="F1115" s="6" t="s">
        <v>3117</v>
      </c>
      <c r="G1115" s="6" t="s">
        <v>3118</v>
      </c>
      <c r="H1115" s="8" t="s">
        <v>3119</v>
      </c>
      <c r="I1115" s="14">
        <v>45294</v>
      </c>
    </row>
    <row r="1116" spans="1:9" x14ac:dyDescent="0.15">
      <c r="A1116" s="5">
        <v>1115</v>
      </c>
      <c r="B1116" s="6" t="s">
        <v>9</v>
      </c>
      <c r="C1116" s="7">
        <v>1882</v>
      </c>
      <c r="D1116" s="8">
        <v>45388</v>
      </c>
      <c r="E1116" s="9" t="str">
        <f>+HYPERLINK("http://trademark.i-assist.jp/data/china/image_1882th/76175726.pdf","76175726")</f>
        <v>76175726</v>
      </c>
      <c r="F1116" s="6" t="s">
        <v>3120</v>
      </c>
      <c r="G1116" s="6" t="s">
        <v>3121</v>
      </c>
      <c r="H1116" s="8" t="s">
        <v>3122</v>
      </c>
      <c r="I1116" s="14">
        <v>45294</v>
      </c>
    </row>
    <row r="1117" spans="1:9" x14ac:dyDescent="0.15">
      <c r="A1117" s="5">
        <v>1116</v>
      </c>
      <c r="B1117" s="6" t="s">
        <v>9</v>
      </c>
      <c r="C1117" s="7">
        <v>1882</v>
      </c>
      <c r="D1117" s="8">
        <v>45388</v>
      </c>
      <c r="E1117" s="9" t="str">
        <f>+HYPERLINK("http://trademark.i-assist.jp/data/china/image_1882th/76175970.pdf","76175970")</f>
        <v>76175970</v>
      </c>
      <c r="F1117" s="6" t="s">
        <v>3123</v>
      </c>
      <c r="G1117" s="6" t="s">
        <v>3124</v>
      </c>
      <c r="H1117" s="8" t="s">
        <v>3125</v>
      </c>
      <c r="I1117" s="14">
        <v>45294</v>
      </c>
    </row>
    <row r="1118" spans="1:9" x14ac:dyDescent="0.15">
      <c r="A1118" s="5">
        <v>1117</v>
      </c>
      <c r="B1118" s="6" t="s">
        <v>9</v>
      </c>
      <c r="C1118" s="7">
        <v>1882</v>
      </c>
      <c r="D1118" s="8">
        <v>45388</v>
      </c>
      <c r="E1118" s="9" t="str">
        <f>+HYPERLINK("http://trademark.i-assist.jp/data/china/image_1882th/76176092.pdf","76176092")</f>
        <v>76176092</v>
      </c>
      <c r="F1118" s="6" t="s">
        <v>3126</v>
      </c>
      <c r="G1118" s="6" t="s">
        <v>3127</v>
      </c>
      <c r="H1118" s="8" t="s">
        <v>3128</v>
      </c>
      <c r="I1118" s="14">
        <v>45294</v>
      </c>
    </row>
    <row r="1119" spans="1:9" x14ac:dyDescent="0.15">
      <c r="A1119" s="5">
        <v>1118</v>
      </c>
      <c r="B1119" s="6" t="s">
        <v>9</v>
      </c>
      <c r="C1119" s="7">
        <v>1882</v>
      </c>
      <c r="D1119" s="8">
        <v>45388</v>
      </c>
      <c r="E1119" s="9" t="str">
        <f>+HYPERLINK("http://trademark.i-assist.jp/data/china/image_1882th/76176115.pdf","76176115")</f>
        <v>76176115</v>
      </c>
      <c r="F1119" s="6" t="s">
        <v>3129</v>
      </c>
      <c r="G1119" s="6" t="s">
        <v>3130</v>
      </c>
      <c r="H1119" s="8" t="s">
        <v>3131</v>
      </c>
      <c r="I1119" s="14">
        <v>45294</v>
      </c>
    </row>
    <row r="1120" spans="1:9" x14ac:dyDescent="0.15">
      <c r="A1120" s="5">
        <v>1119</v>
      </c>
      <c r="B1120" s="6" t="s">
        <v>9</v>
      </c>
      <c r="C1120" s="7">
        <v>1882</v>
      </c>
      <c r="D1120" s="8">
        <v>45388</v>
      </c>
      <c r="E1120" s="9" t="str">
        <f>+HYPERLINK("http://trademark.i-assist.jp/data/china/image_1882th/76176515.pdf","76176515")</f>
        <v>76176515</v>
      </c>
      <c r="F1120" s="6" t="s">
        <v>3132</v>
      </c>
      <c r="G1120" s="6" t="s">
        <v>3133</v>
      </c>
      <c r="H1120" s="8" t="s">
        <v>3134</v>
      </c>
      <c r="I1120" s="14">
        <v>45294</v>
      </c>
    </row>
    <row r="1121" spans="1:9" x14ac:dyDescent="0.15">
      <c r="A1121" s="5">
        <v>1120</v>
      </c>
      <c r="B1121" s="6" t="s">
        <v>9</v>
      </c>
      <c r="C1121" s="7">
        <v>1882</v>
      </c>
      <c r="D1121" s="8">
        <v>45388</v>
      </c>
      <c r="E1121" s="9" t="str">
        <f>+HYPERLINK("http://trademark.i-assist.jp/data/china/image_1882th/76176663.pdf","76176663")</f>
        <v>76176663</v>
      </c>
      <c r="F1121" s="6" t="s">
        <v>3135</v>
      </c>
      <c r="G1121" s="6" t="s">
        <v>2829</v>
      </c>
      <c r="H1121" s="8" t="s">
        <v>3136</v>
      </c>
      <c r="I1121" s="14">
        <v>45294</v>
      </c>
    </row>
    <row r="1122" spans="1:9" x14ac:dyDescent="0.15">
      <c r="A1122" s="5">
        <v>1121</v>
      </c>
      <c r="B1122" s="6" t="s">
        <v>9</v>
      </c>
      <c r="C1122" s="7">
        <v>1882</v>
      </c>
      <c r="D1122" s="8">
        <v>45388</v>
      </c>
      <c r="E1122" s="9" t="str">
        <f>+HYPERLINK("http://trademark.i-assist.jp/data/china/image_1882th/76176665.pdf","76176665")</f>
        <v>76176665</v>
      </c>
      <c r="F1122" s="6" t="s">
        <v>3137</v>
      </c>
      <c r="G1122" s="6" t="s">
        <v>2837</v>
      </c>
      <c r="H1122" s="8" t="s">
        <v>3138</v>
      </c>
      <c r="I1122" s="14">
        <v>45294</v>
      </c>
    </row>
    <row r="1123" spans="1:9" x14ac:dyDescent="0.15">
      <c r="A1123" s="5">
        <v>1122</v>
      </c>
      <c r="B1123" s="6" t="s">
        <v>9</v>
      </c>
      <c r="C1123" s="7">
        <v>1882</v>
      </c>
      <c r="D1123" s="8">
        <v>45388</v>
      </c>
      <c r="E1123" s="9" t="str">
        <f>+HYPERLINK("http://trademark.i-assist.jp/data/china/image_1882th/76176791.pdf","76176791")</f>
        <v>76176791</v>
      </c>
      <c r="F1123" s="6" t="s">
        <v>3139</v>
      </c>
      <c r="G1123" s="6" t="s">
        <v>3140</v>
      </c>
      <c r="H1123" s="8" t="s">
        <v>3141</v>
      </c>
      <c r="I1123" s="14">
        <v>45294</v>
      </c>
    </row>
    <row r="1124" spans="1:9" x14ac:dyDescent="0.15">
      <c r="A1124" s="5">
        <v>1123</v>
      </c>
      <c r="B1124" s="6" t="s">
        <v>9</v>
      </c>
      <c r="C1124" s="7">
        <v>1882</v>
      </c>
      <c r="D1124" s="8">
        <v>45388</v>
      </c>
      <c r="E1124" s="9" t="str">
        <f>+HYPERLINK("http://trademark.i-assist.jp/data/china/image_1882th/76177029.pdf","76177029")</f>
        <v>76177029</v>
      </c>
      <c r="F1124" s="6" t="s">
        <v>3142</v>
      </c>
      <c r="G1124" s="6" t="s">
        <v>3143</v>
      </c>
      <c r="H1124" s="8" t="s">
        <v>3144</v>
      </c>
      <c r="I1124" s="14">
        <v>45294</v>
      </c>
    </row>
    <row r="1125" spans="1:9" x14ac:dyDescent="0.15">
      <c r="A1125" s="5">
        <v>1124</v>
      </c>
      <c r="B1125" s="6" t="s">
        <v>9</v>
      </c>
      <c r="C1125" s="7">
        <v>1882</v>
      </c>
      <c r="D1125" s="8">
        <v>45388</v>
      </c>
      <c r="E1125" s="9" t="str">
        <f>+HYPERLINK("http://trademark.i-assist.jp/data/china/image_1882th/76177102.pdf","76177102")</f>
        <v>76177102</v>
      </c>
      <c r="F1125" s="6" t="s">
        <v>3145</v>
      </c>
      <c r="G1125" s="6" t="s">
        <v>3146</v>
      </c>
      <c r="H1125" s="8" t="s">
        <v>3147</v>
      </c>
      <c r="I1125" s="14">
        <v>45294</v>
      </c>
    </row>
    <row r="1126" spans="1:9" x14ac:dyDescent="0.15">
      <c r="A1126" s="5">
        <v>1125</v>
      </c>
      <c r="B1126" s="6" t="s">
        <v>9</v>
      </c>
      <c r="C1126" s="7">
        <v>1882</v>
      </c>
      <c r="D1126" s="8">
        <v>45388</v>
      </c>
      <c r="E1126" s="9" t="str">
        <f>+HYPERLINK("http://trademark.i-assist.jp/data/china/image_1882th/76177254.pdf","76177254")</f>
        <v>76177254</v>
      </c>
      <c r="F1126" s="6" t="s">
        <v>3148</v>
      </c>
      <c r="G1126" s="6" t="s">
        <v>3149</v>
      </c>
      <c r="H1126" s="8" t="s">
        <v>3150</v>
      </c>
      <c r="I1126" s="14">
        <v>45294</v>
      </c>
    </row>
    <row r="1127" spans="1:9" x14ac:dyDescent="0.15">
      <c r="A1127" s="5">
        <v>1126</v>
      </c>
      <c r="B1127" s="6" t="s">
        <v>9</v>
      </c>
      <c r="C1127" s="7">
        <v>1882</v>
      </c>
      <c r="D1127" s="8">
        <v>45388</v>
      </c>
      <c r="E1127" s="9" t="str">
        <f>+HYPERLINK("http://trademark.i-assist.jp/data/china/image_1882th/76177303.pdf","76177303")</f>
        <v>76177303</v>
      </c>
      <c r="F1127" s="6" t="s">
        <v>3151</v>
      </c>
      <c r="G1127" s="6" t="s">
        <v>3152</v>
      </c>
      <c r="H1127" s="8" t="s">
        <v>3153</v>
      </c>
      <c r="I1127" s="14">
        <v>45294</v>
      </c>
    </row>
    <row r="1128" spans="1:9" x14ac:dyDescent="0.15">
      <c r="A1128" s="5">
        <v>1127</v>
      </c>
      <c r="B1128" s="6" t="s">
        <v>9</v>
      </c>
      <c r="C1128" s="7">
        <v>1882</v>
      </c>
      <c r="D1128" s="8">
        <v>45388</v>
      </c>
      <c r="E1128" s="9" t="str">
        <f>+HYPERLINK("http://trademark.i-assist.jp/data/china/image_1882th/76177412.pdf","76177412")</f>
        <v>76177412</v>
      </c>
      <c r="F1128" s="6" t="s">
        <v>3154</v>
      </c>
      <c r="G1128" s="6" t="s">
        <v>3155</v>
      </c>
      <c r="H1128" s="8" t="s">
        <v>3156</v>
      </c>
      <c r="I1128" s="14">
        <v>45294</v>
      </c>
    </row>
    <row r="1129" spans="1:9" x14ac:dyDescent="0.15">
      <c r="A1129" s="5">
        <v>1128</v>
      </c>
      <c r="B1129" s="6" t="s">
        <v>9</v>
      </c>
      <c r="C1129" s="7">
        <v>1882</v>
      </c>
      <c r="D1129" s="8">
        <v>45388</v>
      </c>
      <c r="E1129" s="9" t="str">
        <f>+HYPERLINK("http://trademark.i-assist.jp/data/china/image_1882th/76177739.pdf","76177739")</f>
        <v>76177739</v>
      </c>
      <c r="F1129" s="6" t="s">
        <v>3157</v>
      </c>
      <c r="G1129" s="6" t="s">
        <v>2764</v>
      </c>
      <c r="H1129" s="8" t="s">
        <v>3158</v>
      </c>
      <c r="I1129" s="14">
        <v>45294</v>
      </c>
    </row>
    <row r="1130" spans="1:9" x14ac:dyDescent="0.15">
      <c r="A1130" s="5">
        <v>1129</v>
      </c>
      <c r="B1130" s="6" t="s">
        <v>9</v>
      </c>
      <c r="C1130" s="7">
        <v>1882</v>
      </c>
      <c r="D1130" s="8">
        <v>45388</v>
      </c>
      <c r="E1130" s="9" t="str">
        <f>+HYPERLINK("http://trademark.i-assist.jp/data/china/image_1882th/76177766.pdf","76177766")</f>
        <v>76177766</v>
      </c>
      <c r="F1130" s="6" t="s">
        <v>3159</v>
      </c>
      <c r="G1130" s="6" t="s">
        <v>2764</v>
      </c>
      <c r="H1130" s="8" t="s">
        <v>3160</v>
      </c>
      <c r="I1130" s="14">
        <v>45294</v>
      </c>
    </row>
    <row r="1131" spans="1:9" x14ac:dyDescent="0.15">
      <c r="A1131" s="5">
        <v>1130</v>
      </c>
      <c r="B1131" s="6" t="s">
        <v>9</v>
      </c>
      <c r="C1131" s="7">
        <v>1882</v>
      </c>
      <c r="D1131" s="8">
        <v>45388</v>
      </c>
      <c r="E1131" s="9" t="str">
        <f>+HYPERLINK("http://trademark.i-assist.jp/data/china/image_1882th/76177779.pdf","76177779")</f>
        <v>76177779</v>
      </c>
      <c r="F1131" s="6" t="s">
        <v>3161</v>
      </c>
      <c r="G1131" s="6" t="s">
        <v>1311</v>
      </c>
      <c r="H1131" s="8" t="s">
        <v>3162</v>
      </c>
      <c r="I1131" s="14">
        <v>45294</v>
      </c>
    </row>
    <row r="1132" spans="1:9" x14ac:dyDescent="0.15">
      <c r="A1132" s="5">
        <v>1131</v>
      </c>
      <c r="B1132" s="6" t="s">
        <v>9</v>
      </c>
      <c r="C1132" s="7">
        <v>1882</v>
      </c>
      <c r="D1132" s="8">
        <v>45388</v>
      </c>
      <c r="E1132" s="9" t="str">
        <f>+HYPERLINK("http://trademark.i-assist.jp/data/china/image_1882th/76178048.pdf","76178048")</f>
        <v>76178048</v>
      </c>
      <c r="F1132" s="6" t="s">
        <v>3163</v>
      </c>
      <c r="G1132" s="6" t="s">
        <v>3164</v>
      </c>
      <c r="H1132" s="8" t="s">
        <v>3165</v>
      </c>
      <c r="I1132" s="14">
        <v>45294</v>
      </c>
    </row>
    <row r="1133" spans="1:9" x14ac:dyDescent="0.15">
      <c r="A1133" s="5">
        <v>1132</v>
      </c>
      <c r="B1133" s="6" t="s">
        <v>9</v>
      </c>
      <c r="C1133" s="7">
        <v>1882</v>
      </c>
      <c r="D1133" s="8">
        <v>45388</v>
      </c>
      <c r="E1133" s="9" t="str">
        <f>+HYPERLINK("http://trademark.i-assist.jp/data/china/image_1882th/76178122.pdf","76178122")</f>
        <v>76178122</v>
      </c>
      <c r="F1133" s="6" t="s">
        <v>3166</v>
      </c>
      <c r="G1133" s="6" t="s">
        <v>3167</v>
      </c>
      <c r="H1133" s="8" t="s">
        <v>3168</v>
      </c>
      <c r="I1133" s="14">
        <v>45294</v>
      </c>
    </row>
    <row r="1134" spans="1:9" x14ac:dyDescent="0.15">
      <c r="A1134" s="5">
        <v>1133</v>
      </c>
      <c r="B1134" s="6" t="s">
        <v>9</v>
      </c>
      <c r="C1134" s="7">
        <v>1882</v>
      </c>
      <c r="D1134" s="8">
        <v>45388</v>
      </c>
      <c r="E1134" s="9" t="str">
        <f>+HYPERLINK("http://trademark.i-assist.jp/data/china/image_1882th/76178152.pdf","76178152")</f>
        <v>76178152</v>
      </c>
      <c r="F1134" s="6" t="s">
        <v>3169</v>
      </c>
      <c r="G1134" s="6" t="s">
        <v>1664</v>
      </c>
      <c r="H1134" s="8" t="s">
        <v>3170</v>
      </c>
      <c r="I1134" s="14">
        <v>45294</v>
      </c>
    </row>
    <row r="1135" spans="1:9" x14ac:dyDescent="0.15">
      <c r="A1135" s="5">
        <v>1134</v>
      </c>
      <c r="B1135" s="6" t="s">
        <v>9</v>
      </c>
      <c r="C1135" s="7">
        <v>1882</v>
      </c>
      <c r="D1135" s="8">
        <v>45388</v>
      </c>
      <c r="E1135" s="9" t="str">
        <f>+HYPERLINK("http://trademark.i-assist.jp/data/china/image_1882th/76178563.pdf","76178563")</f>
        <v>76178563</v>
      </c>
      <c r="F1135" s="6" t="s">
        <v>3171</v>
      </c>
      <c r="G1135" s="6" t="s">
        <v>3172</v>
      </c>
      <c r="H1135" s="8" t="s">
        <v>3173</v>
      </c>
      <c r="I1135" s="14">
        <v>45294</v>
      </c>
    </row>
    <row r="1136" spans="1:9" x14ac:dyDescent="0.15">
      <c r="A1136" s="5">
        <v>1135</v>
      </c>
      <c r="B1136" s="6" t="s">
        <v>9</v>
      </c>
      <c r="C1136" s="7">
        <v>1882</v>
      </c>
      <c r="D1136" s="8">
        <v>45388</v>
      </c>
      <c r="E1136" s="9" t="str">
        <f>+HYPERLINK("http://trademark.i-assist.jp/data/china/image_1882th/76178651.pdf","76178651")</f>
        <v>76178651</v>
      </c>
      <c r="F1136" s="6" t="s">
        <v>3174</v>
      </c>
      <c r="G1136" s="6" t="s">
        <v>3175</v>
      </c>
      <c r="H1136" s="8" t="s">
        <v>3176</v>
      </c>
      <c r="I1136" s="14">
        <v>45294</v>
      </c>
    </row>
    <row r="1137" spans="1:9" x14ac:dyDescent="0.15">
      <c r="A1137" s="5">
        <v>1136</v>
      </c>
      <c r="B1137" s="6" t="s">
        <v>9</v>
      </c>
      <c r="C1137" s="7">
        <v>1882</v>
      </c>
      <c r="D1137" s="8">
        <v>45388</v>
      </c>
      <c r="E1137" s="9" t="str">
        <f>+HYPERLINK("http://trademark.i-assist.jp/data/china/image_1882th/76178687.pdf","76178687")</f>
        <v>76178687</v>
      </c>
      <c r="F1137" s="6" t="s">
        <v>3177</v>
      </c>
      <c r="G1137" s="6" t="s">
        <v>3178</v>
      </c>
      <c r="H1137" s="8" t="s">
        <v>3179</v>
      </c>
      <c r="I1137" s="14">
        <v>45294</v>
      </c>
    </row>
    <row r="1138" spans="1:9" x14ac:dyDescent="0.15">
      <c r="A1138" s="5">
        <v>1137</v>
      </c>
      <c r="B1138" s="6" t="s">
        <v>9</v>
      </c>
      <c r="C1138" s="7">
        <v>1882</v>
      </c>
      <c r="D1138" s="8">
        <v>45388</v>
      </c>
      <c r="E1138" s="9" t="str">
        <f>+HYPERLINK("http://trademark.i-assist.jp/data/china/image_1882th/76178764.pdf","76178764")</f>
        <v>76178764</v>
      </c>
      <c r="F1138" s="6" t="s">
        <v>3180</v>
      </c>
      <c r="G1138" s="6" t="s">
        <v>3181</v>
      </c>
      <c r="H1138" s="8" t="s">
        <v>3182</v>
      </c>
      <c r="I1138" s="14">
        <v>45294</v>
      </c>
    </row>
    <row r="1139" spans="1:9" x14ac:dyDescent="0.15">
      <c r="A1139" s="5">
        <v>1138</v>
      </c>
      <c r="B1139" s="6" t="s">
        <v>9</v>
      </c>
      <c r="C1139" s="7">
        <v>1882</v>
      </c>
      <c r="D1139" s="8">
        <v>45388</v>
      </c>
      <c r="E1139" s="9" t="str">
        <f>+HYPERLINK("http://trademark.i-assist.jp/data/china/image_1882th/76178871.pdf","76178871")</f>
        <v>76178871</v>
      </c>
      <c r="F1139" s="6" t="s">
        <v>3183</v>
      </c>
      <c r="G1139" s="6" t="s">
        <v>3184</v>
      </c>
      <c r="H1139" s="8" t="s">
        <v>3185</v>
      </c>
      <c r="I1139" s="14">
        <v>45294</v>
      </c>
    </row>
    <row r="1140" spans="1:9" x14ac:dyDescent="0.15">
      <c r="A1140" s="5">
        <v>1139</v>
      </c>
      <c r="B1140" s="6" t="s">
        <v>9</v>
      </c>
      <c r="C1140" s="7">
        <v>1882</v>
      </c>
      <c r="D1140" s="8">
        <v>45388</v>
      </c>
      <c r="E1140" s="9" t="str">
        <f>+HYPERLINK("http://trademark.i-assist.jp/data/china/image_1882th/76179031.pdf","76179031")</f>
        <v>76179031</v>
      </c>
      <c r="F1140" s="6" t="s">
        <v>26</v>
      </c>
      <c r="G1140" s="6" t="s">
        <v>3186</v>
      </c>
      <c r="H1140" s="8" t="s">
        <v>3187</v>
      </c>
      <c r="I1140" s="14">
        <v>45294</v>
      </c>
    </row>
    <row r="1141" spans="1:9" x14ac:dyDescent="0.15">
      <c r="A1141" s="5">
        <v>1140</v>
      </c>
      <c r="B1141" s="6" t="s">
        <v>9</v>
      </c>
      <c r="C1141" s="7">
        <v>1882</v>
      </c>
      <c r="D1141" s="8">
        <v>45388</v>
      </c>
      <c r="E1141" s="9" t="str">
        <f>+HYPERLINK("http://trademark.i-assist.jp/data/china/image_1882th/76179152.pdf","76179152")</f>
        <v>76179152</v>
      </c>
      <c r="F1141" s="6" t="s">
        <v>3188</v>
      </c>
      <c r="G1141" s="6" t="s">
        <v>3121</v>
      </c>
      <c r="H1141" s="8" t="s">
        <v>3189</v>
      </c>
      <c r="I1141" s="14">
        <v>45294</v>
      </c>
    </row>
    <row r="1142" spans="1:9" x14ac:dyDescent="0.15">
      <c r="A1142" s="5">
        <v>1141</v>
      </c>
      <c r="B1142" s="6" t="s">
        <v>9</v>
      </c>
      <c r="C1142" s="7">
        <v>1882</v>
      </c>
      <c r="D1142" s="8">
        <v>45388</v>
      </c>
      <c r="E1142" s="9" t="str">
        <f>+HYPERLINK("http://trademark.i-assist.jp/data/china/image_1882th/76179159.pdf","76179159")</f>
        <v>76179159</v>
      </c>
      <c r="F1142" s="6" t="s">
        <v>3190</v>
      </c>
      <c r="G1142" s="6" t="s">
        <v>3191</v>
      </c>
      <c r="H1142" s="8" t="s">
        <v>3192</v>
      </c>
      <c r="I1142" s="14">
        <v>45294</v>
      </c>
    </row>
    <row r="1143" spans="1:9" x14ac:dyDescent="0.15">
      <c r="A1143" s="5">
        <v>1142</v>
      </c>
      <c r="B1143" s="6" t="s">
        <v>9</v>
      </c>
      <c r="C1143" s="7">
        <v>1882</v>
      </c>
      <c r="D1143" s="8">
        <v>45388</v>
      </c>
      <c r="E1143" s="9" t="str">
        <f>+HYPERLINK("http://trademark.i-assist.jp/data/china/image_1882th/76179279.pdf","76179279")</f>
        <v>76179279</v>
      </c>
      <c r="F1143" s="6" t="s">
        <v>3193</v>
      </c>
      <c r="G1143" s="6" t="s">
        <v>3194</v>
      </c>
      <c r="H1143" s="8" t="s">
        <v>3195</v>
      </c>
      <c r="I1143" s="14">
        <v>45294</v>
      </c>
    </row>
    <row r="1144" spans="1:9" x14ac:dyDescent="0.15">
      <c r="A1144" s="5">
        <v>1143</v>
      </c>
      <c r="B1144" s="6" t="s">
        <v>9</v>
      </c>
      <c r="C1144" s="7">
        <v>1882</v>
      </c>
      <c r="D1144" s="8">
        <v>45388</v>
      </c>
      <c r="E1144" s="9" t="str">
        <f>+HYPERLINK("http://trademark.i-assist.jp/data/china/image_1882th/76179445.pdf","76179445")</f>
        <v>76179445</v>
      </c>
      <c r="F1144" s="6" t="s">
        <v>3196</v>
      </c>
      <c r="G1144" s="6" t="s">
        <v>3197</v>
      </c>
      <c r="H1144" s="8" t="s">
        <v>3198</v>
      </c>
      <c r="I1144" s="14">
        <v>45294</v>
      </c>
    </row>
    <row r="1145" spans="1:9" x14ac:dyDescent="0.15">
      <c r="A1145" s="5">
        <v>1144</v>
      </c>
      <c r="B1145" s="6" t="s">
        <v>9</v>
      </c>
      <c r="C1145" s="7">
        <v>1882</v>
      </c>
      <c r="D1145" s="8">
        <v>45388</v>
      </c>
      <c r="E1145" s="9" t="str">
        <f>+HYPERLINK("http://trademark.i-assist.jp/data/china/image_1882th/76179682.pdf","76179682")</f>
        <v>76179682</v>
      </c>
      <c r="F1145" s="6" t="s">
        <v>3199</v>
      </c>
      <c r="G1145" s="6" t="s">
        <v>3200</v>
      </c>
      <c r="H1145" s="8" t="s">
        <v>3201</v>
      </c>
      <c r="I1145" s="14">
        <v>45295</v>
      </c>
    </row>
    <row r="1146" spans="1:9" x14ac:dyDescent="0.15">
      <c r="A1146" s="5">
        <v>1145</v>
      </c>
      <c r="B1146" s="6" t="s">
        <v>9</v>
      </c>
      <c r="C1146" s="7">
        <v>1882</v>
      </c>
      <c r="D1146" s="8">
        <v>45388</v>
      </c>
      <c r="E1146" s="9" t="str">
        <f>+HYPERLINK("http://trademark.i-assist.jp/data/china/image_1882th/76179853.pdf","76179853")</f>
        <v>76179853</v>
      </c>
      <c r="F1146" s="6" t="s">
        <v>3202</v>
      </c>
      <c r="G1146" s="6" t="s">
        <v>3203</v>
      </c>
      <c r="H1146" s="8" t="s">
        <v>3204</v>
      </c>
      <c r="I1146" s="14">
        <v>45295</v>
      </c>
    </row>
    <row r="1147" spans="1:9" x14ac:dyDescent="0.15">
      <c r="A1147" s="5">
        <v>1146</v>
      </c>
      <c r="B1147" s="6" t="s">
        <v>9</v>
      </c>
      <c r="C1147" s="7">
        <v>1882</v>
      </c>
      <c r="D1147" s="8">
        <v>45388</v>
      </c>
      <c r="E1147" s="9" t="str">
        <f>+HYPERLINK("http://trademark.i-assist.jp/data/china/image_1882th/76180072.pdf","76180072")</f>
        <v>76180072</v>
      </c>
      <c r="F1147" s="6" t="s">
        <v>3205</v>
      </c>
      <c r="G1147" s="6" t="s">
        <v>3206</v>
      </c>
      <c r="H1147" s="8" t="s">
        <v>3207</v>
      </c>
      <c r="I1147" s="14">
        <v>45295</v>
      </c>
    </row>
    <row r="1148" spans="1:9" x14ac:dyDescent="0.15">
      <c r="A1148" s="5">
        <v>1147</v>
      </c>
      <c r="B1148" s="6" t="s">
        <v>9</v>
      </c>
      <c r="C1148" s="7">
        <v>1882</v>
      </c>
      <c r="D1148" s="8">
        <v>45388</v>
      </c>
      <c r="E1148" s="9" t="str">
        <f>+HYPERLINK("http://trademark.i-assist.jp/data/china/image_1882th/76180157.pdf","76180157")</f>
        <v>76180157</v>
      </c>
      <c r="F1148" s="6" t="s">
        <v>3208</v>
      </c>
      <c r="G1148" s="6" t="s">
        <v>3209</v>
      </c>
      <c r="H1148" s="8" t="s">
        <v>3210</v>
      </c>
      <c r="I1148" s="14">
        <v>45295</v>
      </c>
    </row>
    <row r="1149" spans="1:9" x14ac:dyDescent="0.15">
      <c r="A1149" s="5">
        <v>1148</v>
      </c>
      <c r="B1149" s="6" t="s">
        <v>9</v>
      </c>
      <c r="C1149" s="7">
        <v>1882</v>
      </c>
      <c r="D1149" s="8">
        <v>45388</v>
      </c>
      <c r="E1149" s="9" t="str">
        <f>+HYPERLINK("http://trademark.i-assist.jp/data/china/image_1882th/76180421.pdf","76180421")</f>
        <v>76180421</v>
      </c>
      <c r="F1149" s="6" t="s">
        <v>3211</v>
      </c>
      <c r="G1149" s="6" t="s">
        <v>3212</v>
      </c>
      <c r="H1149" s="8" t="s">
        <v>3213</v>
      </c>
      <c r="I1149" s="14">
        <v>45295</v>
      </c>
    </row>
    <row r="1150" spans="1:9" x14ac:dyDescent="0.15">
      <c r="A1150" s="5">
        <v>1149</v>
      </c>
      <c r="B1150" s="6" t="s">
        <v>9</v>
      </c>
      <c r="C1150" s="7">
        <v>1882</v>
      </c>
      <c r="D1150" s="8">
        <v>45388</v>
      </c>
      <c r="E1150" s="9" t="str">
        <f>+HYPERLINK("http://trademark.i-assist.jp/data/china/image_1882th/76180534.pdf","76180534")</f>
        <v>76180534</v>
      </c>
      <c r="F1150" s="6" t="s">
        <v>3214</v>
      </c>
      <c r="G1150" s="6" t="s">
        <v>3215</v>
      </c>
      <c r="H1150" s="8" t="s">
        <v>3216</v>
      </c>
      <c r="I1150" s="14">
        <v>45295</v>
      </c>
    </row>
    <row r="1151" spans="1:9" x14ac:dyDescent="0.15">
      <c r="A1151" s="5">
        <v>1150</v>
      </c>
      <c r="B1151" s="6" t="s">
        <v>9</v>
      </c>
      <c r="C1151" s="7">
        <v>1882</v>
      </c>
      <c r="D1151" s="8">
        <v>45388</v>
      </c>
      <c r="E1151" s="9" t="str">
        <f>+HYPERLINK("http://trademark.i-assist.jp/data/china/image_1882th/76180536.pdf","76180536")</f>
        <v>76180536</v>
      </c>
      <c r="F1151" s="6" t="s">
        <v>3217</v>
      </c>
      <c r="G1151" s="6" t="s">
        <v>3215</v>
      </c>
      <c r="H1151" s="8" t="s">
        <v>3218</v>
      </c>
      <c r="I1151" s="14">
        <v>45295</v>
      </c>
    </row>
    <row r="1152" spans="1:9" x14ac:dyDescent="0.15">
      <c r="A1152" s="5">
        <v>1151</v>
      </c>
      <c r="B1152" s="6" t="s">
        <v>9</v>
      </c>
      <c r="C1152" s="7">
        <v>1882</v>
      </c>
      <c r="D1152" s="8">
        <v>45388</v>
      </c>
      <c r="E1152" s="9" t="str">
        <f>+HYPERLINK("http://trademark.i-assist.jp/data/china/image_1882th/76180538.pdf","76180538")</f>
        <v>76180538</v>
      </c>
      <c r="F1152" s="6" t="s">
        <v>3219</v>
      </c>
      <c r="G1152" s="6" t="s">
        <v>3220</v>
      </c>
      <c r="H1152" s="8" t="s">
        <v>3221</v>
      </c>
      <c r="I1152" s="14">
        <v>45295</v>
      </c>
    </row>
    <row r="1153" spans="1:9" x14ac:dyDescent="0.15">
      <c r="A1153" s="5">
        <v>1152</v>
      </c>
      <c r="B1153" s="6" t="s">
        <v>9</v>
      </c>
      <c r="C1153" s="7">
        <v>1882</v>
      </c>
      <c r="D1153" s="8">
        <v>45388</v>
      </c>
      <c r="E1153" s="9" t="str">
        <f>+HYPERLINK("http://trademark.i-assist.jp/data/china/image_1882th/76180627.pdf","76180627")</f>
        <v>76180627</v>
      </c>
      <c r="F1153" s="6" t="s">
        <v>3222</v>
      </c>
      <c r="G1153" s="6" t="s">
        <v>3223</v>
      </c>
      <c r="H1153" s="8" t="s">
        <v>3224</v>
      </c>
      <c r="I1153" s="14">
        <v>45295</v>
      </c>
    </row>
    <row r="1154" spans="1:9" x14ac:dyDescent="0.15">
      <c r="A1154" s="5">
        <v>1153</v>
      </c>
      <c r="B1154" s="6" t="s">
        <v>9</v>
      </c>
      <c r="C1154" s="7">
        <v>1882</v>
      </c>
      <c r="D1154" s="8">
        <v>45388</v>
      </c>
      <c r="E1154" s="9" t="str">
        <f>+HYPERLINK("http://trademark.i-assist.jp/data/china/image_1882th/76181006.pdf","76181006")</f>
        <v>76181006</v>
      </c>
      <c r="F1154" s="6" t="s">
        <v>3225</v>
      </c>
      <c r="G1154" s="6" t="s">
        <v>3226</v>
      </c>
      <c r="H1154" s="8" t="s">
        <v>3227</v>
      </c>
      <c r="I1154" s="14">
        <v>45295</v>
      </c>
    </row>
    <row r="1155" spans="1:9" x14ac:dyDescent="0.15">
      <c r="A1155" s="5">
        <v>1154</v>
      </c>
      <c r="B1155" s="6" t="s">
        <v>9</v>
      </c>
      <c r="C1155" s="7">
        <v>1882</v>
      </c>
      <c r="D1155" s="8">
        <v>45388</v>
      </c>
      <c r="E1155" s="9" t="str">
        <f>+HYPERLINK("http://trademark.i-assist.jp/data/china/image_1882th/76181340.pdf","76181340")</f>
        <v>76181340</v>
      </c>
      <c r="F1155" s="6" t="s">
        <v>3228</v>
      </c>
      <c r="G1155" s="6" t="s">
        <v>3229</v>
      </c>
      <c r="H1155" s="8" t="s">
        <v>3230</v>
      </c>
      <c r="I1155" s="14">
        <v>45295</v>
      </c>
    </row>
    <row r="1156" spans="1:9" x14ac:dyDescent="0.15">
      <c r="A1156" s="5">
        <v>1155</v>
      </c>
      <c r="B1156" s="6" t="s">
        <v>9</v>
      </c>
      <c r="C1156" s="7">
        <v>1882</v>
      </c>
      <c r="D1156" s="8">
        <v>45388</v>
      </c>
      <c r="E1156" s="9" t="str">
        <f>+HYPERLINK("http://trademark.i-assist.jp/data/china/image_1882th/76181869.pdf","76181869")</f>
        <v>76181869</v>
      </c>
      <c r="F1156" s="6" t="s">
        <v>3231</v>
      </c>
      <c r="G1156" s="6" t="s">
        <v>3232</v>
      </c>
      <c r="H1156" s="8" t="s">
        <v>3233</v>
      </c>
      <c r="I1156" s="14">
        <v>45295</v>
      </c>
    </row>
    <row r="1157" spans="1:9" x14ac:dyDescent="0.15">
      <c r="A1157" s="5">
        <v>1156</v>
      </c>
      <c r="B1157" s="6" t="s">
        <v>9</v>
      </c>
      <c r="C1157" s="7">
        <v>1882</v>
      </c>
      <c r="D1157" s="8">
        <v>45388</v>
      </c>
      <c r="E1157" s="9" t="str">
        <f>+HYPERLINK("http://trademark.i-assist.jp/data/china/image_1882th/76181965.pdf","76181965")</f>
        <v>76181965</v>
      </c>
      <c r="F1157" s="6" t="s">
        <v>3234</v>
      </c>
      <c r="G1157" s="6" t="s">
        <v>3235</v>
      </c>
      <c r="H1157" s="8" t="s">
        <v>3236</v>
      </c>
      <c r="I1157" s="14">
        <v>45295</v>
      </c>
    </row>
    <row r="1158" spans="1:9" x14ac:dyDescent="0.15">
      <c r="A1158" s="5">
        <v>1157</v>
      </c>
      <c r="B1158" s="6" t="s">
        <v>9</v>
      </c>
      <c r="C1158" s="7">
        <v>1882</v>
      </c>
      <c r="D1158" s="8">
        <v>45388</v>
      </c>
      <c r="E1158" s="9" t="str">
        <f>+HYPERLINK("http://trademark.i-assist.jp/data/china/image_1882th/76182137.pdf","76182137")</f>
        <v>76182137</v>
      </c>
      <c r="F1158" s="6" t="s">
        <v>3237</v>
      </c>
      <c r="G1158" s="6" t="s">
        <v>3238</v>
      </c>
      <c r="H1158" s="8" t="s">
        <v>3239</v>
      </c>
      <c r="I1158" s="14">
        <v>45295</v>
      </c>
    </row>
    <row r="1159" spans="1:9" x14ac:dyDescent="0.15">
      <c r="A1159" s="5">
        <v>1158</v>
      </c>
      <c r="B1159" s="6" t="s">
        <v>9</v>
      </c>
      <c r="C1159" s="7">
        <v>1882</v>
      </c>
      <c r="D1159" s="8">
        <v>45388</v>
      </c>
      <c r="E1159" s="9" t="str">
        <f>+HYPERLINK("http://trademark.i-assist.jp/data/china/image_1882th/76182175.pdf","76182175")</f>
        <v>76182175</v>
      </c>
      <c r="F1159" s="6" t="s">
        <v>3240</v>
      </c>
      <c r="G1159" s="6" t="s">
        <v>3241</v>
      </c>
      <c r="H1159" s="8" t="s">
        <v>3242</v>
      </c>
      <c r="I1159" s="14">
        <v>45295</v>
      </c>
    </row>
    <row r="1160" spans="1:9" x14ac:dyDescent="0.15">
      <c r="A1160" s="5">
        <v>1159</v>
      </c>
      <c r="B1160" s="6" t="s">
        <v>9</v>
      </c>
      <c r="C1160" s="7">
        <v>1882</v>
      </c>
      <c r="D1160" s="8">
        <v>45388</v>
      </c>
      <c r="E1160" s="9" t="str">
        <f>+HYPERLINK("http://trademark.i-assist.jp/data/china/image_1882th/76182200.pdf","76182200")</f>
        <v>76182200</v>
      </c>
      <c r="F1160" s="6" t="s">
        <v>3243</v>
      </c>
      <c r="G1160" s="6" t="s">
        <v>3244</v>
      </c>
      <c r="H1160" s="8" t="s">
        <v>3245</v>
      </c>
      <c r="I1160" s="14">
        <v>45295</v>
      </c>
    </row>
    <row r="1161" spans="1:9" x14ac:dyDescent="0.15">
      <c r="A1161" s="5">
        <v>1160</v>
      </c>
      <c r="B1161" s="6" t="s">
        <v>9</v>
      </c>
      <c r="C1161" s="7">
        <v>1882</v>
      </c>
      <c r="D1161" s="8">
        <v>45388</v>
      </c>
      <c r="E1161" s="9" t="str">
        <f>+HYPERLINK("http://trademark.i-assist.jp/data/china/image_1882th/76182868.pdf","76182868")</f>
        <v>76182868</v>
      </c>
      <c r="F1161" s="6" t="s">
        <v>3246</v>
      </c>
      <c r="G1161" s="6" t="s">
        <v>3247</v>
      </c>
      <c r="H1161" s="8" t="s">
        <v>3248</v>
      </c>
      <c r="I1161" s="14">
        <v>45295</v>
      </c>
    </row>
    <row r="1162" spans="1:9" x14ac:dyDescent="0.15">
      <c r="A1162" s="5">
        <v>1161</v>
      </c>
      <c r="B1162" s="6" t="s">
        <v>9</v>
      </c>
      <c r="C1162" s="7">
        <v>1882</v>
      </c>
      <c r="D1162" s="8">
        <v>45388</v>
      </c>
      <c r="E1162" s="9" t="str">
        <f>+HYPERLINK("http://trademark.i-assist.jp/data/china/image_1882th/76183026.pdf","76183026")</f>
        <v>76183026</v>
      </c>
      <c r="F1162" s="6" t="s">
        <v>3249</v>
      </c>
      <c r="G1162" s="6" t="s">
        <v>3250</v>
      </c>
      <c r="H1162" s="8" t="s">
        <v>3251</v>
      </c>
      <c r="I1162" s="14">
        <v>45295</v>
      </c>
    </row>
    <row r="1163" spans="1:9" x14ac:dyDescent="0.15">
      <c r="A1163" s="5">
        <v>1162</v>
      </c>
      <c r="B1163" s="6" t="s">
        <v>9</v>
      </c>
      <c r="C1163" s="7">
        <v>1882</v>
      </c>
      <c r="D1163" s="8">
        <v>45388</v>
      </c>
      <c r="E1163" s="9" t="str">
        <f>+HYPERLINK("http://trademark.i-assist.jp/data/china/image_1882th/76183055.pdf","76183055")</f>
        <v>76183055</v>
      </c>
      <c r="F1163" s="6" t="s">
        <v>3252</v>
      </c>
      <c r="G1163" s="6" t="s">
        <v>3253</v>
      </c>
      <c r="H1163" s="8" t="s">
        <v>3254</v>
      </c>
      <c r="I1163" s="14">
        <v>45295</v>
      </c>
    </row>
    <row r="1164" spans="1:9" x14ac:dyDescent="0.15">
      <c r="A1164" s="5">
        <v>1163</v>
      </c>
      <c r="B1164" s="6" t="s">
        <v>9</v>
      </c>
      <c r="C1164" s="7">
        <v>1882</v>
      </c>
      <c r="D1164" s="8">
        <v>45388</v>
      </c>
      <c r="E1164" s="9" t="str">
        <f>+HYPERLINK("http://trademark.i-assist.jp/data/china/image_1882th/76183527.pdf","76183527")</f>
        <v>76183527</v>
      </c>
      <c r="F1164" s="6" t="s">
        <v>3255</v>
      </c>
      <c r="G1164" s="6" t="s">
        <v>3256</v>
      </c>
      <c r="H1164" s="8" t="s">
        <v>3257</v>
      </c>
      <c r="I1164" s="14">
        <v>45295</v>
      </c>
    </row>
    <row r="1165" spans="1:9" x14ac:dyDescent="0.15">
      <c r="A1165" s="5">
        <v>1164</v>
      </c>
      <c r="B1165" s="6" t="s">
        <v>9</v>
      </c>
      <c r="C1165" s="7">
        <v>1882</v>
      </c>
      <c r="D1165" s="8">
        <v>45388</v>
      </c>
      <c r="E1165" s="9" t="str">
        <f>+HYPERLINK("http://trademark.i-assist.jp/data/china/image_1882th/76183913.pdf","76183913")</f>
        <v>76183913</v>
      </c>
      <c r="F1165" s="6" t="s">
        <v>3258</v>
      </c>
      <c r="G1165" s="6" t="s">
        <v>3259</v>
      </c>
      <c r="H1165" s="8" t="s">
        <v>3260</v>
      </c>
      <c r="I1165" s="14">
        <v>45295</v>
      </c>
    </row>
    <row r="1166" spans="1:9" x14ac:dyDescent="0.15">
      <c r="A1166" s="5">
        <v>1165</v>
      </c>
      <c r="B1166" s="6" t="s">
        <v>9</v>
      </c>
      <c r="C1166" s="7">
        <v>1882</v>
      </c>
      <c r="D1166" s="8">
        <v>45388</v>
      </c>
      <c r="E1166" s="9" t="str">
        <f>+HYPERLINK("http://trademark.i-assist.jp/data/china/image_1882th/76184617.pdf","76184617")</f>
        <v>76184617</v>
      </c>
      <c r="F1166" s="6" t="s">
        <v>3261</v>
      </c>
      <c r="G1166" s="6" t="s">
        <v>3262</v>
      </c>
      <c r="H1166" s="8" t="s">
        <v>3263</v>
      </c>
      <c r="I1166" s="14">
        <v>45295</v>
      </c>
    </row>
    <row r="1167" spans="1:9" x14ac:dyDescent="0.15">
      <c r="A1167" s="5">
        <v>1166</v>
      </c>
      <c r="B1167" s="6" t="s">
        <v>9</v>
      </c>
      <c r="C1167" s="7">
        <v>1882</v>
      </c>
      <c r="D1167" s="8">
        <v>45388</v>
      </c>
      <c r="E1167" s="9" t="str">
        <f>+HYPERLINK("http://trademark.i-assist.jp/data/china/image_1882th/76185091.pdf","76185091")</f>
        <v>76185091</v>
      </c>
      <c r="F1167" s="6" t="s">
        <v>3264</v>
      </c>
      <c r="G1167" s="6" t="s">
        <v>3265</v>
      </c>
      <c r="H1167" s="8" t="s">
        <v>3266</v>
      </c>
      <c r="I1167" s="14">
        <v>45295</v>
      </c>
    </row>
    <row r="1168" spans="1:9" x14ac:dyDescent="0.15">
      <c r="A1168" s="5">
        <v>1167</v>
      </c>
      <c r="B1168" s="6" t="s">
        <v>9</v>
      </c>
      <c r="C1168" s="7">
        <v>1882</v>
      </c>
      <c r="D1168" s="8">
        <v>45388</v>
      </c>
      <c r="E1168" s="9" t="str">
        <f>+HYPERLINK("http://trademark.i-assist.jp/data/china/image_1882th/76185502.pdf","76185502")</f>
        <v>76185502</v>
      </c>
      <c r="F1168" s="6" t="s">
        <v>3267</v>
      </c>
      <c r="G1168" s="6" t="s">
        <v>3268</v>
      </c>
      <c r="H1168" s="8" t="s">
        <v>3269</v>
      </c>
      <c r="I1168" s="14">
        <v>45295</v>
      </c>
    </row>
    <row r="1169" spans="1:9" x14ac:dyDescent="0.15">
      <c r="A1169" s="5">
        <v>1168</v>
      </c>
      <c r="B1169" s="6" t="s">
        <v>9</v>
      </c>
      <c r="C1169" s="7">
        <v>1882</v>
      </c>
      <c r="D1169" s="8">
        <v>45388</v>
      </c>
      <c r="E1169" s="9" t="str">
        <f>+HYPERLINK("http://trademark.i-assist.jp/data/china/image_1882th/76185584.pdf","76185584")</f>
        <v>76185584</v>
      </c>
      <c r="F1169" s="6" t="s">
        <v>3270</v>
      </c>
      <c r="G1169" s="6" t="s">
        <v>3271</v>
      </c>
      <c r="H1169" s="8" t="s">
        <v>3272</v>
      </c>
      <c r="I1169" s="14">
        <v>45295</v>
      </c>
    </row>
    <row r="1170" spans="1:9" x14ac:dyDescent="0.15">
      <c r="A1170" s="5">
        <v>1169</v>
      </c>
      <c r="B1170" s="6" t="s">
        <v>9</v>
      </c>
      <c r="C1170" s="7">
        <v>1882</v>
      </c>
      <c r="D1170" s="8">
        <v>45388</v>
      </c>
      <c r="E1170" s="9" t="str">
        <f>+HYPERLINK("http://trademark.i-assist.jp/data/china/image_1882th/76185810.pdf","76185810")</f>
        <v>76185810</v>
      </c>
      <c r="F1170" s="6" t="s">
        <v>3273</v>
      </c>
      <c r="G1170" s="6" t="s">
        <v>3274</v>
      </c>
      <c r="H1170" s="8" t="s">
        <v>3275</v>
      </c>
      <c r="I1170" s="14">
        <v>45295</v>
      </c>
    </row>
    <row r="1171" spans="1:9" x14ac:dyDescent="0.15">
      <c r="A1171" s="5">
        <v>1170</v>
      </c>
      <c r="B1171" s="6" t="s">
        <v>9</v>
      </c>
      <c r="C1171" s="7">
        <v>1882</v>
      </c>
      <c r="D1171" s="8">
        <v>45388</v>
      </c>
      <c r="E1171" s="9" t="str">
        <f>+HYPERLINK("http://trademark.i-assist.jp/data/china/image_1882th/76185866.pdf","76185866")</f>
        <v>76185866</v>
      </c>
      <c r="F1171" s="6" t="s">
        <v>3276</v>
      </c>
      <c r="G1171" s="6" t="s">
        <v>3277</v>
      </c>
      <c r="H1171" s="8" t="s">
        <v>3278</v>
      </c>
      <c r="I1171" s="14">
        <v>45295</v>
      </c>
    </row>
    <row r="1172" spans="1:9" x14ac:dyDescent="0.15">
      <c r="A1172" s="5">
        <v>1171</v>
      </c>
      <c r="B1172" s="6" t="s">
        <v>9</v>
      </c>
      <c r="C1172" s="7">
        <v>1882</v>
      </c>
      <c r="D1172" s="8">
        <v>45388</v>
      </c>
      <c r="E1172" s="9" t="str">
        <f>+HYPERLINK("http://trademark.i-assist.jp/data/china/image_1882th/76186093.pdf","76186093")</f>
        <v>76186093</v>
      </c>
      <c r="F1172" s="6" t="s">
        <v>3279</v>
      </c>
      <c r="G1172" s="6" t="s">
        <v>3280</v>
      </c>
      <c r="H1172" s="8" t="s">
        <v>3281</v>
      </c>
      <c r="I1172" s="14">
        <v>45295</v>
      </c>
    </row>
    <row r="1173" spans="1:9" x14ac:dyDescent="0.15">
      <c r="A1173" s="5">
        <v>1172</v>
      </c>
      <c r="B1173" s="6" t="s">
        <v>9</v>
      </c>
      <c r="C1173" s="7">
        <v>1882</v>
      </c>
      <c r="D1173" s="8">
        <v>45388</v>
      </c>
      <c r="E1173" s="9" t="str">
        <f>+HYPERLINK("http://trademark.i-assist.jp/data/china/image_1882th/76186163.pdf","76186163")</f>
        <v>76186163</v>
      </c>
      <c r="F1173" s="6" t="s">
        <v>3282</v>
      </c>
      <c r="G1173" s="6" t="s">
        <v>3283</v>
      </c>
      <c r="H1173" s="8" t="s">
        <v>3284</v>
      </c>
      <c r="I1173" s="14">
        <v>45295</v>
      </c>
    </row>
    <row r="1174" spans="1:9" x14ac:dyDescent="0.15">
      <c r="A1174" s="5">
        <v>1173</v>
      </c>
      <c r="B1174" s="6" t="s">
        <v>9</v>
      </c>
      <c r="C1174" s="7">
        <v>1882</v>
      </c>
      <c r="D1174" s="8">
        <v>45388</v>
      </c>
      <c r="E1174" s="9" t="str">
        <f>+HYPERLINK("http://trademark.i-assist.jp/data/china/image_1882th/76186232.pdf","76186232")</f>
        <v>76186232</v>
      </c>
      <c r="F1174" s="6" t="s">
        <v>3285</v>
      </c>
      <c r="G1174" s="6" t="s">
        <v>3286</v>
      </c>
      <c r="H1174" s="8" t="s">
        <v>3287</v>
      </c>
      <c r="I1174" s="14">
        <v>45295</v>
      </c>
    </row>
    <row r="1175" spans="1:9" x14ac:dyDescent="0.15">
      <c r="A1175" s="5">
        <v>1174</v>
      </c>
      <c r="B1175" s="6" t="s">
        <v>9</v>
      </c>
      <c r="C1175" s="7">
        <v>1882</v>
      </c>
      <c r="D1175" s="8">
        <v>45388</v>
      </c>
      <c r="E1175" s="9" t="str">
        <f>+HYPERLINK("http://trademark.i-assist.jp/data/china/image_1882th/76186512.pdf","76186512")</f>
        <v>76186512</v>
      </c>
      <c r="F1175" s="6" t="s">
        <v>3288</v>
      </c>
      <c r="G1175" s="6" t="s">
        <v>3289</v>
      </c>
      <c r="H1175" s="8" t="s">
        <v>3290</v>
      </c>
      <c r="I1175" s="14">
        <v>45295</v>
      </c>
    </row>
    <row r="1176" spans="1:9" x14ac:dyDescent="0.15">
      <c r="A1176" s="5">
        <v>1175</v>
      </c>
      <c r="B1176" s="6" t="s">
        <v>9</v>
      </c>
      <c r="C1176" s="7">
        <v>1882</v>
      </c>
      <c r="D1176" s="8">
        <v>45388</v>
      </c>
      <c r="E1176" s="9" t="str">
        <f>+HYPERLINK("http://trademark.i-assist.jp/data/china/image_1882th/76186567.pdf","76186567")</f>
        <v>76186567</v>
      </c>
      <c r="F1176" s="6" t="s">
        <v>3291</v>
      </c>
      <c r="G1176" s="6" t="s">
        <v>3292</v>
      </c>
      <c r="H1176" s="8" t="s">
        <v>3293</v>
      </c>
      <c r="I1176" s="14">
        <v>45295</v>
      </c>
    </row>
    <row r="1177" spans="1:9" x14ac:dyDescent="0.15">
      <c r="A1177" s="5">
        <v>1176</v>
      </c>
      <c r="B1177" s="6" t="s">
        <v>9</v>
      </c>
      <c r="C1177" s="7">
        <v>1882</v>
      </c>
      <c r="D1177" s="8">
        <v>45388</v>
      </c>
      <c r="E1177" s="9" t="str">
        <f>+HYPERLINK("http://trademark.i-assist.jp/data/china/image_1882th/76186586.pdf","76186586")</f>
        <v>76186586</v>
      </c>
      <c r="F1177" s="6" t="s">
        <v>3294</v>
      </c>
      <c r="G1177" s="6" t="s">
        <v>3295</v>
      </c>
      <c r="H1177" s="8" t="s">
        <v>3296</v>
      </c>
      <c r="I1177" s="14">
        <v>45295</v>
      </c>
    </row>
    <row r="1178" spans="1:9" x14ac:dyDescent="0.15">
      <c r="A1178" s="5">
        <v>1177</v>
      </c>
      <c r="B1178" s="6" t="s">
        <v>9</v>
      </c>
      <c r="C1178" s="7">
        <v>1882</v>
      </c>
      <c r="D1178" s="8">
        <v>45388</v>
      </c>
      <c r="E1178" s="9" t="str">
        <f>+HYPERLINK("http://trademark.i-assist.jp/data/china/image_1882th/76187137.pdf","76187137")</f>
        <v>76187137</v>
      </c>
      <c r="F1178" s="6" t="s">
        <v>3297</v>
      </c>
      <c r="G1178" s="6" t="s">
        <v>3298</v>
      </c>
      <c r="H1178" s="8" t="s">
        <v>3299</v>
      </c>
      <c r="I1178" s="14">
        <v>45295</v>
      </c>
    </row>
    <row r="1179" spans="1:9" x14ac:dyDescent="0.15">
      <c r="A1179" s="5">
        <v>1178</v>
      </c>
      <c r="B1179" s="6" t="s">
        <v>9</v>
      </c>
      <c r="C1179" s="7">
        <v>1882</v>
      </c>
      <c r="D1179" s="8">
        <v>45388</v>
      </c>
      <c r="E1179" s="9" t="str">
        <f>+HYPERLINK("http://trademark.i-assist.jp/data/china/image_1882th/76187146.pdf","76187146")</f>
        <v>76187146</v>
      </c>
      <c r="F1179" s="6" t="s">
        <v>26</v>
      </c>
      <c r="G1179" s="6" t="s">
        <v>3300</v>
      </c>
      <c r="H1179" s="8" t="s">
        <v>3301</v>
      </c>
      <c r="I1179" s="14">
        <v>45295</v>
      </c>
    </row>
    <row r="1180" spans="1:9" x14ac:dyDescent="0.15">
      <c r="A1180" s="5">
        <v>1179</v>
      </c>
      <c r="B1180" s="6" t="s">
        <v>9</v>
      </c>
      <c r="C1180" s="7">
        <v>1882</v>
      </c>
      <c r="D1180" s="8">
        <v>45388</v>
      </c>
      <c r="E1180" s="9" t="str">
        <f>+HYPERLINK("http://trademark.i-assist.jp/data/china/image_1882th/76187391.pdf","76187391")</f>
        <v>76187391</v>
      </c>
      <c r="F1180" s="6" t="s">
        <v>3302</v>
      </c>
      <c r="G1180" s="6" t="s">
        <v>3303</v>
      </c>
      <c r="H1180" s="8" t="s">
        <v>3304</v>
      </c>
      <c r="I1180" s="14">
        <v>45295</v>
      </c>
    </row>
    <row r="1181" spans="1:9" x14ac:dyDescent="0.15">
      <c r="A1181" s="5">
        <v>1180</v>
      </c>
      <c r="B1181" s="6" t="s">
        <v>9</v>
      </c>
      <c r="C1181" s="7">
        <v>1882</v>
      </c>
      <c r="D1181" s="8">
        <v>45388</v>
      </c>
      <c r="E1181" s="9" t="str">
        <f>+HYPERLINK("http://trademark.i-assist.jp/data/china/image_1882th/76187759.pdf","76187759")</f>
        <v>76187759</v>
      </c>
      <c r="F1181" s="6" t="s">
        <v>3305</v>
      </c>
      <c r="G1181" s="6" t="s">
        <v>3306</v>
      </c>
      <c r="H1181" s="8" t="s">
        <v>3307</v>
      </c>
      <c r="I1181" s="14">
        <v>45295</v>
      </c>
    </row>
    <row r="1182" spans="1:9" x14ac:dyDescent="0.15">
      <c r="A1182" s="5">
        <v>1181</v>
      </c>
      <c r="B1182" s="6" t="s">
        <v>9</v>
      </c>
      <c r="C1182" s="7">
        <v>1882</v>
      </c>
      <c r="D1182" s="8">
        <v>45388</v>
      </c>
      <c r="E1182" s="9" t="str">
        <f>+HYPERLINK("http://trademark.i-assist.jp/data/china/image_1882th/76188067.pdf","76188067")</f>
        <v>76188067</v>
      </c>
      <c r="F1182" s="6" t="s">
        <v>3308</v>
      </c>
      <c r="G1182" s="6" t="s">
        <v>3309</v>
      </c>
      <c r="H1182" s="8" t="s">
        <v>3310</v>
      </c>
      <c r="I1182" s="14">
        <v>45295</v>
      </c>
    </row>
    <row r="1183" spans="1:9" x14ac:dyDescent="0.15">
      <c r="A1183" s="5">
        <v>1182</v>
      </c>
      <c r="B1183" s="6" t="s">
        <v>9</v>
      </c>
      <c r="C1183" s="7">
        <v>1882</v>
      </c>
      <c r="D1183" s="8">
        <v>45388</v>
      </c>
      <c r="E1183" s="9" t="str">
        <f>+HYPERLINK("http://trademark.i-assist.jp/data/china/image_1882th/76188093.pdf","76188093")</f>
        <v>76188093</v>
      </c>
      <c r="F1183" s="6" t="s">
        <v>3311</v>
      </c>
      <c r="G1183" s="6" t="s">
        <v>3312</v>
      </c>
      <c r="H1183" s="8" t="s">
        <v>3313</v>
      </c>
      <c r="I1183" s="14">
        <v>45295</v>
      </c>
    </row>
    <row r="1184" spans="1:9" x14ac:dyDescent="0.15">
      <c r="A1184" s="5">
        <v>1183</v>
      </c>
      <c r="B1184" s="6" t="s">
        <v>9</v>
      </c>
      <c r="C1184" s="7">
        <v>1882</v>
      </c>
      <c r="D1184" s="8">
        <v>45388</v>
      </c>
      <c r="E1184" s="9" t="str">
        <f>+HYPERLINK("http://trademark.i-assist.jp/data/china/image_1882th/76188123.pdf","76188123")</f>
        <v>76188123</v>
      </c>
      <c r="F1184" s="6" t="s">
        <v>3314</v>
      </c>
      <c r="G1184" s="6" t="s">
        <v>3289</v>
      </c>
      <c r="H1184" s="8" t="s">
        <v>3315</v>
      </c>
      <c r="I1184" s="14">
        <v>45295</v>
      </c>
    </row>
    <row r="1185" spans="1:9" x14ac:dyDescent="0.15">
      <c r="A1185" s="5">
        <v>1184</v>
      </c>
      <c r="B1185" s="6" t="s">
        <v>9</v>
      </c>
      <c r="C1185" s="7">
        <v>1882</v>
      </c>
      <c r="D1185" s="8">
        <v>45388</v>
      </c>
      <c r="E1185" s="9" t="str">
        <f>+HYPERLINK("http://trademark.i-assist.jp/data/china/image_1882th/76188844.pdf","76188844")</f>
        <v>76188844</v>
      </c>
      <c r="F1185" s="6" t="s">
        <v>3316</v>
      </c>
      <c r="G1185" s="6" t="s">
        <v>3317</v>
      </c>
      <c r="H1185" s="8" t="s">
        <v>3318</v>
      </c>
      <c r="I1185" s="14">
        <v>45295</v>
      </c>
    </row>
    <row r="1186" spans="1:9" x14ac:dyDescent="0.15">
      <c r="A1186" s="5">
        <v>1185</v>
      </c>
      <c r="B1186" s="6" t="s">
        <v>9</v>
      </c>
      <c r="C1186" s="7">
        <v>1882</v>
      </c>
      <c r="D1186" s="8">
        <v>45388</v>
      </c>
      <c r="E1186" s="9" t="str">
        <f>+HYPERLINK("http://trademark.i-assist.jp/data/china/image_1882th/76188925.pdf","76188925")</f>
        <v>76188925</v>
      </c>
      <c r="F1186" s="6" t="s">
        <v>3319</v>
      </c>
      <c r="G1186" s="6" t="s">
        <v>3259</v>
      </c>
      <c r="H1186" s="8" t="s">
        <v>3320</v>
      </c>
      <c r="I1186" s="14">
        <v>45295</v>
      </c>
    </row>
    <row r="1187" spans="1:9" x14ac:dyDescent="0.15">
      <c r="A1187" s="5">
        <v>1186</v>
      </c>
      <c r="B1187" s="6" t="s">
        <v>9</v>
      </c>
      <c r="C1187" s="7">
        <v>1882</v>
      </c>
      <c r="D1187" s="8">
        <v>45388</v>
      </c>
      <c r="E1187" s="9" t="str">
        <f>+HYPERLINK("http://trademark.i-assist.jp/data/china/image_1882th/76189327.pdf","76189327")</f>
        <v>76189327</v>
      </c>
      <c r="F1187" s="6" t="s">
        <v>3321</v>
      </c>
      <c r="G1187" s="6" t="s">
        <v>3256</v>
      </c>
      <c r="H1187" s="8" t="s">
        <v>3322</v>
      </c>
      <c r="I1187" s="14">
        <v>45295</v>
      </c>
    </row>
    <row r="1188" spans="1:9" x14ac:dyDescent="0.15">
      <c r="A1188" s="5">
        <v>1187</v>
      </c>
      <c r="B1188" s="6" t="s">
        <v>9</v>
      </c>
      <c r="C1188" s="7">
        <v>1882</v>
      </c>
      <c r="D1188" s="8">
        <v>45388</v>
      </c>
      <c r="E1188" s="9" t="str">
        <f>+HYPERLINK("http://trademark.i-assist.jp/data/china/image_1882th/76189363.pdf","76189363")</f>
        <v>76189363</v>
      </c>
      <c r="F1188" s="6" t="s">
        <v>3323</v>
      </c>
      <c r="G1188" s="6" t="s">
        <v>3324</v>
      </c>
      <c r="H1188" s="8" t="s">
        <v>3325</v>
      </c>
      <c r="I1188" s="14">
        <v>45295</v>
      </c>
    </row>
    <row r="1189" spans="1:9" x14ac:dyDescent="0.15">
      <c r="A1189" s="5">
        <v>1188</v>
      </c>
      <c r="B1189" s="6" t="s">
        <v>9</v>
      </c>
      <c r="C1189" s="7">
        <v>1882</v>
      </c>
      <c r="D1189" s="8">
        <v>45388</v>
      </c>
      <c r="E1189" s="9" t="str">
        <f>+HYPERLINK("http://trademark.i-assist.jp/data/china/image_1882th/76189423.pdf","76189423")</f>
        <v>76189423</v>
      </c>
      <c r="F1189" s="6" t="s">
        <v>3326</v>
      </c>
      <c r="G1189" s="6" t="s">
        <v>3327</v>
      </c>
      <c r="H1189" s="8" t="s">
        <v>3328</v>
      </c>
      <c r="I1189" s="14">
        <v>45295</v>
      </c>
    </row>
    <row r="1190" spans="1:9" x14ac:dyDescent="0.15">
      <c r="A1190" s="5">
        <v>1189</v>
      </c>
      <c r="B1190" s="6" t="s">
        <v>9</v>
      </c>
      <c r="C1190" s="7">
        <v>1882</v>
      </c>
      <c r="D1190" s="8">
        <v>45388</v>
      </c>
      <c r="E1190" s="9" t="str">
        <f>+HYPERLINK("http://trademark.i-assist.jp/data/china/image_1882th/76189568.pdf","76189568")</f>
        <v>76189568</v>
      </c>
      <c r="F1190" s="6" t="s">
        <v>3329</v>
      </c>
      <c r="G1190" s="6" t="s">
        <v>3330</v>
      </c>
      <c r="H1190" s="8" t="s">
        <v>3331</v>
      </c>
      <c r="I1190" s="14">
        <v>45295</v>
      </c>
    </row>
    <row r="1191" spans="1:9" x14ac:dyDescent="0.15">
      <c r="A1191" s="5">
        <v>1190</v>
      </c>
      <c r="B1191" s="6" t="s">
        <v>9</v>
      </c>
      <c r="C1191" s="7">
        <v>1882</v>
      </c>
      <c r="D1191" s="8">
        <v>45388</v>
      </c>
      <c r="E1191" s="9" t="str">
        <f>+HYPERLINK("http://trademark.i-assist.jp/data/china/image_1882th/76189579.pdf","76189579")</f>
        <v>76189579</v>
      </c>
      <c r="F1191" s="6" t="s">
        <v>3332</v>
      </c>
      <c r="G1191" s="6" t="s">
        <v>3333</v>
      </c>
      <c r="H1191" s="8" t="s">
        <v>3334</v>
      </c>
      <c r="I1191" s="14">
        <v>45295</v>
      </c>
    </row>
    <row r="1192" spans="1:9" x14ac:dyDescent="0.15">
      <c r="A1192" s="5">
        <v>1191</v>
      </c>
      <c r="B1192" s="6" t="s">
        <v>9</v>
      </c>
      <c r="C1192" s="7">
        <v>1882</v>
      </c>
      <c r="D1192" s="8">
        <v>45388</v>
      </c>
      <c r="E1192" s="9" t="str">
        <f>+HYPERLINK("http://trademark.i-assist.jp/data/china/image_1882th/76189837.pdf","76189837")</f>
        <v>76189837</v>
      </c>
      <c r="F1192" s="6" t="s">
        <v>3335</v>
      </c>
      <c r="G1192" s="6" t="s">
        <v>3336</v>
      </c>
      <c r="H1192" s="8" t="s">
        <v>3337</v>
      </c>
      <c r="I1192" s="14">
        <v>45295</v>
      </c>
    </row>
    <row r="1193" spans="1:9" x14ac:dyDescent="0.15">
      <c r="A1193" s="5">
        <v>1192</v>
      </c>
      <c r="B1193" s="6" t="s">
        <v>9</v>
      </c>
      <c r="C1193" s="7">
        <v>1882</v>
      </c>
      <c r="D1193" s="8">
        <v>45388</v>
      </c>
      <c r="E1193" s="9" t="str">
        <f>+HYPERLINK("http://trademark.i-assist.jp/data/china/image_1882th/76190454.pdf","76190454")</f>
        <v>76190454</v>
      </c>
      <c r="F1193" s="6" t="s">
        <v>3338</v>
      </c>
      <c r="G1193" s="6" t="s">
        <v>3339</v>
      </c>
      <c r="H1193" s="8" t="s">
        <v>3340</v>
      </c>
      <c r="I1193" s="14">
        <v>45295</v>
      </c>
    </row>
    <row r="1194" spans="1:9" x14ac:dyDescent="0.15">
      <c r="A1194" s="5">
        <v>1193</v>
      </c>
      <c r="B1194" s="6" t="s">
        <v>9</v>
      </c>
      <c r="C1194" s="7">
        <v>1882</v>
      </c>
      <c r="D1194" s="8">
        <v>45388</v>
      </c>
      <c r="E1194" s="9" t="str">
        <f>+HYPERLINK("http://trademark.i-assist.jp/data/china/image_1882th/76190615.pdf","76190615")</f>
        <v>76190615</v>
      </c>
      <c r="F1194" s="6" t="s">
        <v>26</v>
      </c>
      <c r="G1194" s="6" t="s">
        <v>3341</v>
      </c>
      <c r="H1194" s="8" t="s">
        <v>3342</v>
      </c>
      <c r="I1194" s="14">
        <v>45295</v>
      </c>
    </row>
    <row r="1195" spans="1:9" x14ac:dyDescent="0.15">
      <c r="A1195" s="5">
        <v>1194</v>
      </c>
      <c r="B1195" s="6" t="s">
        <v>9</v>
      </c>
      <c r="C1195" s="7">
        <v>1882</v>
      </c>
      <c r="D1195" s="8">
        <v>45388</v>
      </c>
      <c r="E1195" s="9" t="str">
        <f>+HYPERLINK("http://trademark.i-assist.jp/data/china/image_1882th/76190662.pdf","76190662")</f>
        <v>76190662</v>
      </c>
      <c r="F1195" s="6" t="s">
        <v>3343</v>
      </c>
      <c r="G1195" s="6" t="s">
        <v>3344</v>
      </c>
      <c r="H1195" s="8" t="s">
        <v>3345</v>
      </c>
      <c r="I1195" s="14">
        <v>45295</v>
      </c>
    </row>
    <row r="1196" spans="1:9" x14ac:dyDescent="0.15">
      <c r="A1196" s="5">
        <v>1195</v>
      </c>
      <c r="B1196" s="6" t="s">
        <v>9</v>
      </c>
      <c r="C1196" s="7">
        <v>1882</v>
      </c>
      <c r="D1196" s="8">
        <v>45388</v>
      </c>
      <c r="E1196" s="9" t="str">
        <f>+HYPERLINK("http://trademark.i-assist.jp/data/china/image_1882th/76190788.pdf","76190788")</f>
        <v>76190788</v>
      </c>
      <c r="F1196" s="6" t="s">
        <v>3346</v>
      </c>
      <c r="G1196" s="6" t="s">
        <v>3347</v>
      </c>
      <c r="H1196" s="8" t="s">
        <v>3348</v>
      </c>
      <c r="I1196" s="14">
        <v>45295</v>
      </c>
    </row>
    <row r="1197" spans="1:9" x14ac:dyDescent="0.15">
      <c r="A1197" s="5">
        <v>1196</v>
      </c>
      <c r="B1197" s="6" t="s">
        <v>9</v>
      </c>
      <c r="C1197" s="7">
        <v>1882</v>
      </c>
      <c r="D1197" s="8">
        <v>45388</v>
      </c>
      <c r="E1197" s="9" t="str">
        <f>+HYPERLINK("http://trademark.i-assist.jp/data/china/image_1882th/76190858.pdf","76190858")</f>
        <v>76190858</v>
      </c>
      <c r="F1197" s="6" t="s">
        <v>3349</v>
      </c>
      <c r="G1197" s="6" t="s">
        <v>3350</v>
      </c>
      <c r="H1197" s="8" t="s">
        <v>3351</v>
      </c>
      <c r="I1197" s="14">
        <v>45295</v>
      </c>
    </row>
    <row r="1198" spans="1:9" x14ac:dyDescent="0.15">
      <c r="A1198" s="5">
        <v>1197</v>
      </c>
      <c r="B1198" s="6" t="s">
        <v>9</v>
      </c>
      <c r="C1198" s="7">
        <v>1882</v>
      </c>
      <c r="D1198" s="8">
        <v>45388</v>
      </c>
      <c r="E1198" s="9" t="str">
        <f>+HYPERLINK("http://trademark.i-assist.jp/data/china/image_1882th/76190880.pdf","76190880")</f>
        <v>76190880</v>
      </c>
      <c r="F1198" s="6" t="s">
        <v>3352</v>
      </c>
      <c r="G1198" s="6" t="s">
        <v>3353</v>
      </c>
      <c r="H1198" s="8" t="s">
        <v>3354</v>
      </c>
      <c r="I1198" s="14">
        <v>45295</v>
      </c>
    </row>
    <row r="1199" spans="1:9" x14ac:dyDescent="0.15">
      <c r="A1199" s="5">
        <v>1198</v>
      </c>
      <c r="B1199" s="6" t="s">
        <v>9</v>
      </c>
      <c r="C1199" s="7">
        <v>1882</v>
      </c>
      <c r="D1199" s="8">
        <v>45388</v>
      </c>
      <c r="E1199" s="9" t="str">
        <f>+HYPERLINK("http://trademark.i-assist.jp/data/china/image_1882th/76190908.pdf","76190908")</f>
        <v>76190908</v>
      </c>
      <c r="F1199" s="6" t="s">
        <v>3355</v>
      </c>
      <c r="G1199" s="6" t="s">
        <v>3353</v>
      </c>
      <c r="H1199" s="8" t="s">
        <v>3356</v>
      </c>
      <c r="I1199" s="14">
        <v>45295</v>
      </c>
    </row>
    <row r="1200" spans="1:9" x14ac:dyDescent="0.15">
      <c r="A1200" s="5">
        <v>1199</v>
      </c>
      <c r="B1200" s="6" t="s">
        <v>9</v>
      </c>
      <c r="C1200" s="7">
        <v>1882</v>
      </c>
      <c r="D1200" s="8">
        <v>45388</v>
      </c>
      <c r="E1200" s="9" t="str">
        <f>+HYPERLINK("http://trademark.i-assist.jp/data/china/image_1882th/76190911.pdf","76190911")</f>
        <v>76190911</v>
      </c>
      <c r="F1200" s="6" t="s">
        <v>3357</v>
      </c>
      <c r="G1200" s="6" t="s">
        <v>3358</v>
      </c>
      <c r="H1200" s="8" t="s">
        <v>3359</v>
      </c>
      <c r="I1200" s="14">
        <v>45295</v>
      </c>
    </row>
    <row r="1201" spans="1:9" x14ac:dyDescent="0.15">
      <c r="A1201" s="5">
        <v>1200</v>
      </c>
      <c r="B1201" s="6" t="s">
        <v>9</v>
      </c>
      <c r="C1201" s="7">
        <v>1882</v>
      </c>
      <c r="D1201" s="8">
        <v>45388</v>
      </c>
      <c r="E1201" s="9" t="str">
        <f>+HYPERLINK("http://trademark.i-assist.jp/data/china/image_1882th/76190936.pdf","76190936")</f>
        <v>76190936</v>
      </c>
      <c r="F1201" s="6" t="s">
        <v>3360</v>
      </c>
      <c r="G1201" s="6" t="s">
        <v>3361</v>
      </c>
      <c r="H1201" s="8" t="s">
        <v>3362</v>
      </c>
      <c r="I1201" s="14">
        <v>45295</v>
      </c>
    </row>
    <row r="1202" spans="1:9" x14ac:dyDescent="0.15">
      <c r="A1202" s="5">
        <v>1201</v>
      </c>
      <c r="B1202" s="6" t="s">
        <v>9</v>
      </c>
      <c r="C1202" s="7">
        <v>1882</v>
      </c>
      <c r="D1202" s="8">
        <v>45388</v>
      </c>
      <c r="E1202" s="9" t="str">
        <f>+HYPERLINK("http://trademark.i-assist.jp/data/china/image_1882th/76191092.pdf","76191092")</f>
        <v>76191092</v>
      </c>
      <c r="F1202" s="6" t="s">
        <v>26</v>
      </c>
      <c r="G1202" s="6" t="s">
        <v>3363</v>
      </c>
      <c r="H1202" s="8" t="s">
        <v>3364</v>
      </c>
      <c r="I1202" s="14">
        <v>45295</v>
      </c>
    </row>
    <row r="1203" spans="1:9" x14ac:dyDescent="0.15">
      <c r="A1203" s="5">
        <v>1202</v>
      </c>
      <c r="B1203" s="6" t="s">
        <v>9</v>
      </c>
      <c r="C1203" s="7">
        <v>1882</v>
      </c>
      <c r="D1203" s="8">
        <v>45388</v>
      </c>
      <c r="E1203" s="9" t="str">
        <f>+HYPERLINK("http://trademark.i-assist.jp/data/china/image_1882th/76191175.pdf","76191175")</f>
        <v>76191175</v>
      </c>
      <c r="F1203" s="6" t="s">
        <v>3365</v>
      </c>
      <c r="G1203" s="6" t="s">
        <v>3366</v>
      </c>
      <c r="H1203" s="8" t="s">
        <v>3367</v>
      </c>
      <c r="I1203" s="14">
        <v>45295</v>
      </c>
    </row>
    <row r="1204" spans="1:9" x14ac:dyDescent="0.15">
      <c r="A1204" s="5">
        <v>1203</v>
      </c>
      <c r="B1204" s="6" t="s">
        <v>9</v>
      </c>
      <c r="C1204" s="7">
        <v>1882</v>
      </c>
      <c r="D1204" s="8">
        <v>45388</v>
      </c>
      <c r="E1204" s="9" t="str">
        <f>+HYPERLINK("http://trademark.i-assist.jp/data/china/image_1882th/76191613.pdf","76191613")</f>
        <v>76191613</v>
      </c>
      <c r="F1204" s="6" t="s">
        <v>3368</v>
      </c>
      <c r="G1204" s="6" t="s">
        <v>3369</v>
      </c>
      <c r="H1204" s="8" t="s">
        <v>3370</v>
      </c>
      <c r="I1204" s="14">
        <v>45295</v>
      </c>
    </row>
    <row r="1205" spans="1:9" x14ac:dyDescent="0.15">
      <c r="A1205" s="5">
        <v>1204</v>
      </c>
      <c r="B1205" s="6" t="s">
        <v>9</v>
      </c>
      <c r="C1205" s="7">
        <v>1882</v>
      </c>
      <c r="D1205" s="8">
        <v>45388</v>
      </c>
      <c r="E1205" s="9" t="str">
        <f>+HYPERLINK("http://trademark.i-assist.jp/data/china/image_1882th/76191655.pdf","76191655")</f>
        <v>76191655</v>
      </c>
      <c r="F1205" s="6" t="s">
        <v>3371</v>
      </c>
      <c r="G1205" s="6" t="s">
        <v>3372</v>
      </c>
      <c r="H1205" s="8" t="s">
        <v>3373</v>
      </c>
      <c r="I1205" s="14">
        <v>45295</v>
      </c>
    </row>
    <row r="1206" spans="1:9" x14ac:dyDescent="0.15">
      <c r="A1206" s="5">
        <v>1205</v>
      </c>
      <c r="B1206" s="6" t="s">
        <v>9</v>
      </c>
      <c r="C1206" s="7">
        <v>1882</v>
      </c>
      <c r="D1206" s="8">
        <v>45388</v>
      </c>
      <c r="E1206" s="9" t="str">
        <f>+HYPERLINK("http://trademark.i-assist.jp/data/china/image_1882th/76192334.pdf","76192334")</f>
        <v>76192334</v>
      </c>
      <c r="F1206" s="6" t="s">
        <v>3374</v>
      </c>
      <c r="G1206" s="6" t="s">
        <v>1509</v>
      </c>
      <c r="H1206" s="8" t="s">
        <v>3375</v>
      </c>
      <c r="I1206" s="14">
        <v>45295</v>
      </c>
    </row>
    <row r="1207" spans="1:9" x14ac:dyDescent="0.15">
      <c r="A1207" s="5">
        <v>1206</v>
      </c>
      <c r="B1207" s="6" t="s">
        <v>9</v>
      </c>
      <c r="C1207" s="7">
        <v>1882</v>
      </c>
      <c r="D1207" s="8">
        <v>45388</v>
      </c>
      <c r="E1207" s="9" t="str">
        <f>+HYPERLINK("http://trademark.i-assist.jp/data/china/image_1882th/76192417.pdf","76192417")</f>
        <v>76192417</v>
      </c>
      <c r="F1207" s="6" t="s">
        <v>3376</v>
      </c>
      <c r="G1207" s="6" t="s">
        <v>3377</v>
      </c>
      <c r="H1207" s="8" t="s">
        <v>3378</v>
      </c>
      <c r="I1207" s="14">
        <v>45295</v>
      </c>
    </row>
    <row r="1208" spans="1:9" x14ac:dyDescent="0.15">
      <c r="A1208" s="5">
        <v>1207</v>
      </c>
      <c r="B1208" s="6" t="s">
        <v>9</v>
      </c>
      <c r="C1208" s="7">
        <v>1882</v>
      </c>
      <c r="D1208" s="8">
        <v>45388</v>
      </c>
      <c r="E1208" s="9" t="str">
        <f>+HYPERLINK("http://trademark.i-assist.jp/data/china/image_1882th/76193000.pdf","76193000")</f>
        <v>76193000</v>
      </c>
      <c r="F1208" s="6" t="s">
        <v>3379</v>
      </c>
      <c r="G1208" s="6" t="s">
        <v>3380</v>
      </c>
      <c r="H1208" s="8" t="s">
        <v>3381</v>
      </c>
      <c r="I1208" s="14">
        <v>45295</v>
      </c>
    </row>
    <row r="1209" spans="1:9" x14ac:dyDescent="0.15">
      <c r="A1209" s="5">
        <v>1208</v>
      </c>
      <c r="B1209" s="6" t="s">
        <v>9</v>
      </c>
      <c r="C1209" s="7">
        <v>1882</v>
      </c>
      <c r="D1209" s="8">
        <v>45388</v>
      </c>
      <c r="E1209" s="9" t="str">
        <f>+HYPERLINK("http://trademark.i-assist.jp/data/china/image_1882th/76193011.pdf","76193011")</f>
        <v>76193011</v>
      </c>
      <c r="F1209" s="6" t="s">
        <v>3382</v>
      </c>
      <c r="G1209" s="6" t="s">
        <v>3383</v>
      </c>
      <c r="H1209" s="8" t="s">
        <v>3384</v>
      </c>
      <c r="I1209" s="14">
        <v>45295</v>
      </c>
    </row>
    <row r="1210" spans="1:9" x14ac:dyDescent="0.15">
      <c r="A1210" s="5">
        <v>1209</v>
      </c>
      <c r="B1210" s="6" t="s">
        <v>9</v>
      </c>
      <c r="C1210" s="7">
        <v>1882</v>
      </c>
      <c r="D1210" s="8">
        <v>45388</v>
      </c>
      <c r="E1210" s="9" t="str">
        <f>+HYPERLINK("http://trademark.i-assist.jp/data/china/image_1882th/76193015.pdf","76193015")</f>
        <v>76193015</v>
      </c>
      <c r="F1210" s="6" t="s">
        <v>3385</v>
      </c>
      <c r="G1210" s="6" t="s">
        <v>3386</v>
      </c>
      <c r="H1210" s="8" t="s">
        <v>3387</v>
      </c>
      <c r="I1210" s="14">
        <v>45295</v>
      </c>
    </row>
    <row r="1211" spans="1:9" x14ac:dyDescent="0.15">
      <c r="A1211" s="5">
        <v>1210</v>
      </c>
      <c r="B1211" s="6" t="s">
        <v>9</v>
      </c>
      <c r="C1211" s="7">
        <v>1882</v>
      </c>
      <c r="D1211" s="8">
        <v>45388</v>
      </c>
      <c r="E1211" s="9" t="str">
        <f>+HYPERLINK("http://trademark.i-assist.jp/data/china/image_1882th/76193084.pdf","76193084")</f>
        <v>76193084</v>
      </c>
      <c r="F1211" s="6" t="s">
        <v>3388</v>
      </c>
      <c r="G1211" s="6" t="s">
        <v>3389</v>
      </c>
      <c r="H1211" s="8" t="s">
        <v>3390</v>
      </c>
      <c r="I1211" s="14">
        <v>45295</v>
      </c>
    </row>
    <row r="1212" spans="1:9" x14ac:dyDescent="0.15">
      <c r="A1212" s="5">
        <v>1211</v>
      </c>
      <c r="B1212" s="6" t="s">
        <v>9</v>
      </c>
      <c r="C1212" s="7">
        <v>1882</v>
      </c>
      <c r="D1212" s="8">
        <v>45388</v>
      </c>
      <c r="E1212" s="9" t="str">
        <f>+HYPERLINK("http://trademark.i-assist.jp/data/china/image_1882th/76193207.pdf","76193207")</f>
        <v>76193207</v>
      </c>
      <c r="F1212" s="6" t="s">
        <v>3391</v>
      </c>
      <c r="G1212" s="6" t="s">
        <v>3392</v>
      </c>
      <c r="H1212" s="8" t="s">
        <v>3393</v>
      </c>
      <c r="I1212" s="14">
        <v>45295</v>
      </c>
    </row>
    <row r="1213" spans="1:9" x14ac:dyDescent="0.15">
      <c r="A1213" s="5">
        <v>1212</v>
      </c>
      <c r="B1213" s="6" t="s">
        <v>9</v>
      </c>
      <c r="C1213" s="7">
        <v>1882</v>
      </c>
      <c r="D1213" s="8">
        <v>45388</v>
      </c>
      <c r="E1213" s="9" t="str">
        <f>+HYPERLINK("http://trademark.i-assist.jp/data/china/image_1882th/76193659.pdf","76193659")</f>
        <v>76193659</v>
      </c>
      <c r="F1213" s="6" t="s">
        <v>3394</v>
      </c>
      <c r="G1213" s="6" t="s">
        <v>3395</v>
      </c>
      <c r="H1213" s="8" t="s">
        <v>3396</v>
      </c>
      <c r="I1213" s="14">
        <v>45295</v>
      </c>
    </row>
    <row r="1214" spans="1:9" x14ac:dyDescent="0.15">
      <c r="A1214" s="5">
        <v>1213</v>
      </c>
      <c r="B1214" s="6" t="s">
        <v>9</v>
      </c>
      <c r="C1214" s="7">
        <v>1882</v>
      </c>
      <c r="D1214" s="8">
        <v>45388</v>
      </c>
      <c r="E1214" s="9" t="str">
        <f>+HYPERLINK("http://trademark.i-assist.jp/data/china/image_1882th/76193850.pdf","76193850")</f>
        <v>76193850</v>
      </c>
      <c r="F1214" s="6" t="s">
        <v>3397</v>
      </c>
      <c r="G1214" s="6" t="s">
        <v>3398</v>
      </c>
      <c r="H1214" s="8" t="s">
        <v>3399</v>
      </c>
      <c r="I1214" s="14">
        <v>45295</v>
      </c>
    </row>
    <row r="1215" spans="1:9" x14ac:dyDescent="0.15">
      <c r="A1215" s="5">
        <v>1214</v>
      </c>
      <c r="B1215" s="6" t="s">
        <v>9</v>
      </c>
      <c r="C1215" s="7">
        <v>1882</v>
      </c>
      <c r="D1215" s="8">
        <v>45388</v>
      </c>
      <c r="E1215" s="9" t="str">
        <f>+HYPERLINK("http://trademark.i-assist.jp/data/china/image_1882th/76194098.pdf","76194098")</f>
        <v>76194098</v>
      </c>
      <c r="F1215" s="6" t="s">
        <v>26</v>
      </c>
      <c r="G1215" s="6" t="s">
        <v>3300</v>
      </c>
      <c r="H1215" s="8" t="s">
        <v>3400</v>
      </c>
      <c r="I1215" s="14">
        <v>45295</v>
      </c>
    </row>
    <row r="1216" spans="1:9" x14ac:dyDescent="0.15">
      <c r="A1216" s="5">
        <v>1215</v>
      </c>
      <c r="B1216" s="6" t="s">
        <v>9</v>
      </c>
      <c r="C1216" s="7">
        <v>1882</v>
      </c>
      <c r="D1216" s="8">
        <v>45388</v>
      </c>
      <c r="E1216" s="9" t="str">
        <f>+HYPERLINK("http://trademark.i-assist.jp/data/china/image_1882th/76194351.pdf","76194351")</f>
        <v>76194351</v>
      </c>
      <c r="F1216" s="6" t="s">
        <v>3401</v>
      </c>
      <c r="G1216" s="6" t="s">
        <v>3402</v>
      </c>
      <c r="H1216" s="8" t="s">
        <v>3403</v>
      </c>
      <c r="I1216" s="14">
        <v>45295</v>
      </c>
    </row>
    <row r="1217" spans="1:9" x14ac:dyDescent="0.15">
      <c r="A1217" s="5">
        <v>1216</v>
      </c>
      <c r="B1217" s="6" t="s">
        <v>9</v>
      </c>
      <c r="C1217" s="7">
        <v>1882</v>
      </c>
      <c r="D1217" s="8">
        <v>45388</v>
      </c>
      <c r="E1217" s="9" t="str">
        <f>+HYPERLINK("http://trademark.i-assist.jp/data/china/image_1882th/76194805.pdf","76194805")</f>
        <v>76194805</v>
      </c>
      <c r="F1217" s="6" t="s">
        <v>3404</v>
      </c>
      <c r="G1217" s="6" t="s">
        <v>3405</v>
      </c>
      <c r="H1217" s="8" t="s">
        <v>3406</v>
      </c>
      <c r="I1217" s="14">
        <v>45295</v>
      </c>
    </row>
    <row r="1218" spans="1:9" x14ac:dyDescent="0.15">
      <c r="A1218" s="5">
        <v>1217</v>
      </c>
      <c r="B1218" s="6" t="s">
        <v>9</v>
      </c>
      <c r="C1218" s="7">
        <v>1882</v>
      </c>
      <c r="D1218" s="8">
        <v>45388</v>
      </c>
      <c r="E1218" s="9" t="str">
        <f>+HYPERLINK("http://trademark.i-assist.jp/data/china/image_1882th/76194945.pdf","76194945")</f>
        <v>76194945</v>
      </c>
      <c r="F1218" s="6" t="s">
        <v>3407</v>
      </c>
      <c r="G1218" s="6" t="s">
        <v>3408</v>
      </c>
      <c r="H1218" s="8" t="s">
        <v>3409</v>
      </c>
      <c r="I1218" s="14">
        <v>45295</v>
      </c>
    </row>
    <row r="1219" spans="1:9" x14ac:dyDescent="0.15">
      <c r="A1219" s="5">
        <v>1218</v>
      </c>
      <c r="B1219" s="6" t="s">
        <v>9</v>
      </c>
      <c r="C1219" s="7">
        <v>1882</v>
      </c>
      <c r="D1219" s="8">
        <v>45388</v>
      </c>
      <c r="E1219" s="9" t="str">
        <f>+HYPERLINK("http://trademark.i-assist.jp/data/china/image_1882th/76195025.pdf","76195025")</f>
        <v>76195025</v>
      </c>
      <c r="F1219" s="6" t="s">
        <v>3410</v>
      </c>
      <c r="G1219" s="6" t="s">
        <v>3353</v>
      </c>
      <c r="H1219" s="8" t="s">
        <v>3411</v>
      </c>
      <c r="I1219" s="14">
        <v>45295</v>
      </c>
    </row>
    <row r="1220" spans="1:9" x14ac:dyDescent="0.15">
      <c r="A1220" s="5">
        <v>1219</v>
      </c>
      <c r="B1220" s="6" t="s">
        <v>9</v>
      </c>
      <c r="C1220" s="7">
        <v>1882</v>
      </c>
      <c r="D1220" s="8">
        <v>45388</v>
      </c>
      <c r="E1220" s="9" t="str">
        <f>+HYPERLINK("http://trademark.i-assist.jp/data/china/image_1882th/76195317.pdf","76195317")</f>
        <v>76195317</v>
      </c>
      <c r="F1220" s="6" t="s">
        <v>3412</v>
      </c>
      <c r="G1220" s="6" t="s">
        <v>3203</v>
      </c>
      <c r="H1220" s="8" t="s">
        <v>3413</v>
      </c>
      <c r="I1220" s="14">
        <v>45295</v>
      </c>
    </row>
    <row r="1221" spans="1:9" x14ac:dyDescent="0.15">
      <c r="A1221" s="5">
        <v>1220</v>
      </c>
      <c r="B1221" s="6" t="s">
        <v>9</v>
      </c>
      <c r="C1221" s="7">
        <v>1882</v>
      </c>
      <c r="D1221" s="8">
        <v>45388</v>
      </c>
      <c r="E1221" s="9" t="str">
        <f>+HYPERLINK("http://trademark.i-assist.jp/data/china/image_1882th/76195346.pdf","76195346")</f>
        <v>76195346</v>
      </c>
      <c r="F1221" s="6" t="s">
        <v>3414</v>
      </c>
      <c r="G1221" s="6" t="s">
        <v>3415</v>
      </c>
      <c r="H1221" s="8" t="s">
        <v>3416</v>
      </c>
      <c r="I1221" s="14">
        <v>45295</v>
      </c>
    </row>
    <row r="1222" spans="1:9" x14ac:dyDescent="0.15">
      <c r="A1222" s="5">
        <v>1221</v>
      </c>
      <c r="B1222" s="6" t="s">
        <v>9</v>
      </c>
      <c r="C1222" s="7">
        <v>1882</v>
      </c>
      <c r="D1222" s="8">
        <v>45388</v>
      </c>
      <c r="E1222" s="9" t="str">
        <f>+HYPERLINK("http://trademark.i-assist.jp/data/china/image_1882th/76195659.pdf","76195659")</f>
        <v>76195659</v>
      </c>
      <c r="F1222" s="6" t="s">
        <v>3417</v>
      </c>
      <c r="G1222" s="6" t="s">
        <v>3418</v>
      </c>
      <c r="H1222" s="8" t="s">
        <v>3419</v>
      </c>
      <c r="I1222" s="14">
        <v>45295</v>
      </c>
    </row>
    <row r="1223" spans="1:9" x14ac:dyDescent="0.15">
      <c r="A1223" s="5">
        <v>1222</v>
      </c>
      <c r="B1223" s="6" t="s">
        <v>9</v>
      </c>
      <c r="C1223" s="7">
        <v>1882</v>
      </c>
      <c r="D1223" s="8">
        <v>45388</v>
      </c>
      <c r="E1223" s="9" t="str">
        <f>+HYPERLINK("http://trademark.i-assist.jp/data/china/image_1882th/76195840.pdf","76195840")</f>
        <v>76195840</v>
      </c>
      <c r="F1223" s="6" t="s">
        <v>3420</v>
      </c>
      <c r="G1223" s="6" t="s">
        <v>3421</v>
      </c>
      <c r="H1223" s="8" t="s">
        <v>3422</v>
      </c>
      <c r="I1223" s="14">
        <v>45295</v>
      </c>
    </row>
    <row r="1224" spans="1:9" x14ac:dyDescent="0.15">
      <c r="A1224" s="5">
        <v>1223</v>
      </c>
      <c r="B1224" s="6" t="s">
        <v>9</v>
      </c>
      <c r="C1224" s="7">
        <v>1882</v>
      </c>
      <c r="D1224" s="8">
        <v>45388</v>
      </c>
      <c r="E1224" s="9" t="str">
        <f>+HYPERLINK("http://trademark.i-assist.jp/data/china/image_1882th/76195845.pdf","76195845")</f>
        <v>76195845</v>
      </c>
      <c r="F1224" s="6" t="s">
        <v>3423</v>
      </c>
      <c r="G1224" s="6" t="s">
        <v>3423</v>
      </c>
      <c r="H1224" s="8" t="s">
        <v>3424</v>
      </c>
      <c r="I1224" s="14">
        <v>45295</v>
      </c>
    </row>
    <row r="1225" spans="1:9" x14ac:dyDescent="0.15">
      <c r="A1225" s="5">
        <v>1224</v>
      </c>
      <c r="B1225" s="6" t="s">
        <v>9</v>
      </c>
      <c r="C1225" s="7">
        <v>1882</v>
      </c>
      <c r="D1225" s="8">
        <v>45388</v>
      </c>
      <c r="E1225" s="9" t="str">
        <f>+HYPERLINK("http://trademark.i-assist.jp/data/china/image_1882th/76196159.pdf","76196159")</f>
        <v>76196159</v>
      </c>
      <c r="F1225" s="6" t="s">
        <v>3425</v>
      </c>
      <c r="G1225" s="6" t="s">
        <v>3426</v>
      </c>
      <c r="H1225" s="8" t="s">
        <v>3427</v>
      </c>
      <c r="I1225" s="14">
        <v>45295</v>
      </c>
    </row>
    <row r="1226" spans="1:9" x14ac:dyDescent="0.15">
      <c r="A1226" s="5">
        <v>1225</v>
      </c>
      <c r="B1226" s="6" t="s">
        <v>9</v>
      </c>
      <c r="C1226" s="7">
        <v>1882</v>
      </c>
      <c r="D1226" s="8">
        <v>45388</v>
      </c>
      <c r="E1226" s="9" t="str">
        <f>+HYPERLINK("http://trademark.i-assist.jp/data/china/image_1882th/76196416.pdf","76196416")</f>
        <v>76196416</v>
      </c>
      <c r="F1226" s="6" t="s">
        <v>26</v>
      </c>
      <c r="G1226" s="6" t="s">
        <v>3428</v>
      </c>
      <c r="H1226" s="8" t="s">
        <v>3429</v>
      </c>
      <c r="I1226" s="14">
        <v>45295</v>
      </c>
    </row>
    <row r="1227" spans="1:9" x14ac:dyDescent="0.15">
      <c r="A1227" s="5">
        <v>1226</v>
      </c>
      <c r="B1227" s="6" t="s">
        <v>9</v>
      </c>
      <c r="C1227" s="7">
        <v>1882</v>
      </c>
      <c r="D1227" s="8">
        <v>45388</v>
      </c>
      <c r="E1227" s="9" t="str">
        <f>+HYPERLINK("http://trademark.i-assist.jp/data/china/image_1882th/76196541.pdf","76196541")</f>
        <v>76196541</v>
      </c>
      <c r="F1227" s="6" t="s">
        <v>3430</v>
      </c>
      <c r="G1227" s="6" t="s">
        <v>3431</v>
      </c>
      <c r="H1227" s="8" t="s">
        <v>3432</v>
      </c>
      <c r="I1227" s="14">
        <v>45295</v>
      </c>
    </row>
    <row r="1228" spans="1:9" x14ac:dyDescent="0.15">
      <c r="A1228" s="5">
        <v>1227</v>
      </c>
      <c r="B1228" s="6" t="s">
        <v>9</v>
      </c>
      <c r="C1228" s="7">
        <v>1882</v>
      </c>
      <c r="D1228" s="8">
        <v>45388</v>
      </c>
      <c r="E1228" s="9" t="str">
        <f>+HYPERLINK("http://trademark.i-assist.jp/data/china/image_1882th/76196765.pdf","76196765")</f>
        <v>76196765</v>
      </c>
      <c r="F1228" s="6" t="s">
        <v>3433</v>
      </c>
      <c r="G1228" s="6" t="s">
        <v>3206</v>
      </c>
      <c r="H1228" s="8" t="s">
        <v>3434</v>
      </c>
      <c r="I1228" s="14">
        <v>45295</v>
      </c>
    </row>
    <row r="1229" spans="1:9" x14ac:dyDescent="0.15">
      <c r="A1229" s="5">
        <v>1228</v>
      </c>
      <c r="B1229" s="6" t="s">
        <v>9</v>
      </c>
      <c r="C1229" s="7">
        <v>1882</v>
      </c>
      <c r="D1229" s="8">
        <v>45388</v>
      </c>
      <c r="E1229" s="9" t="str">
        <f>+HYPERLINK("http://trademark.i-assist.jp/data/china/image_1882th/76196860.pdf","76196860")</f>
        <v>76196860</v>
      </c>
      <c r="F1229" s="6" t="s">
        <v>3435</v>
      </c>
      <c r="G1229" s="6" t="s">
        <v>3436</v>
      </c>
      <c r="H1229" s="8" t="s">
        <v>3437</v>
      </c>
      <c r="I1229" s="14">
        <v>45295</v>
      </c>
    </row>
    <row r="1230" spans="1:9" x14ac:dyDescent="0.15">
      <c r="A1230" s="5">
        <v>1229</v>
      </c>
      <c r="B1230" s="6" t="s">
        <v>9</v>
      </c>
      <c r="C1230" s="7">
        <v>1882</v>
      </c>
      <c r="D1230" s="8">
        <v>45388</v>
      </c>
      <c r="E1230" s="9" t="str">
        <f>+HYPERLINK("http://trademark.i-assist.jp/data/china/image_1882th/76196912.pdf","76196912")</f>
        <v>76196912</v>
      </c>
      <c r="F1230" s="6" t="s">
        <v>3438</v>
      </c>
      <c r="G1230" s="6" t="s">
        <v>3398</v>
      </c>
      <c r="H1230" s="8" t="s">
        <v>3439</v>
      </c>
      <c r="I1230" s="14">
        <v>45295</v>
      </c>
    </row>
    <row r="1231" spans="1:9" x14ac:dyDescent="0.15">
      <c r="A1231" s="5">
        <v>1230</v>
      </c>
      <c r="B1231" s="6" t="s">
        <v>9</v>
      </c>
      <c r="C1231" s="7">
        <v>1882</v>
      </c>
      <c r="D1231" s="8">
        <v>45388</v>
      </c>
      <c r="E1231" s="9" t="str">
        <f>+HYPERLINK("http://trademark.i-assist.jp/data/china/image_1882th/76197107.pdf","76197107")</f>
        <v>76197107</v>
      </c>
      <c r="F1231" s="6" t="s">
        <v>3440</v>
      </c>
      <c r="G1231" s="6" t="s">
        <v>3441</v>
      </c>
      <c r="H1231" s="8" t="s">
        <v>3442</v>
      </c>
      <c r="I1231" s="14">
        <v>45295</v>
      </c>
    </row>
    <row r="1232" spans="1:9" x14ac:dyDescent="0.15">
      <c r="A1232" s="5">
        <v>1231</v>
      </c>
      <c r="B1232" s="6" t="s">
        <v>9</v>
      </c>
      <c r="C1232" s="7">
        <v>1882</v>
      </c>
      <c r="D1232" s="8">
        <v>45388</v>
      </c>
      <c r="E1232" s="9" t="str">
        <f>+HYPERLINK("http://trademark.i-assist.jp/data/china/image_1882th/76197118.pdf","76197118")</f>
        <v>76197118</v>
      </c>
      <c r="F1232" s="6" t="s">
        <v>3443</v>
      </c>
      <c r="G1232" s="6" t="s">
        <v>3444</v>
      </c>
      <c r="H1232" s="8" t="s">
        <v>3445</v>
      </c>
      <c r="I1232" s="14">
        <v>45295</v>
      </c>
    </row>
    <row r="1233" spans="1:9" x14ac:dyDescent="0.15">
      <c r="A1233" s="5">
        <v>1232</v>
      </c>
      <c r="B1233" s="6" t="s">
        <v>9</v>
      </c>
      <c r="C1233" s="7">
        <v>1882</v>
      </c>
      <c r="D1233" s="8">
        <v>45388</v>
      </c>
      <c r="E1233" s="9" t="str">
        <f>+HYPERLINK("http://trademark.i-assist.jp/data/china/image_1882th/76197252.pdf","76197252")</f>
        <v>76197252</v>
      </c>
      <c r="F1233" s="6" t="s">
        <v>3446</v>
      </c>
      <c r="G1233" s="6" t="s">
        <v>3447</v>
      </c>
      <c r="H1233" s="8" t="s">
        <v>3448</v>
      </c>
      <c r="I1233" s="14">
        <v>45295</v>
      </c>
    </row>
    <row r="1234" spans="1:9" x14ac:dyDescent="0.15">
      <c r="A1234" s="5">
        <v>1233</v>
      </c>
      <c r="B1234" s="6" t="s">
        <v>9</v>
      </c>
      <c r="C1234" s="7">
        <v>1882</v>
      </c>
      <c r="D1234" s="8">
        <v>45388</v>
      </c>
      <c r="E1234" s="9" t="str">
        <f>+HYPERLINK("http://trademark.i-assist.jp/data/china/image_1882th/76197713.pdf","76197713")</f>
        <v>76197713</v>
      </c>
      <c r="F1234" s="6" t="s">
        <v>3449</v>
      </c>
      <c r="G1234" s="6" t="s">
        <v>3450</v>
      </c>
      <c r="H1234" s="8" t="s">
        <v>3451</v>
      </c>
      <c r="I1234" s="14">
        <v>45295</v>
      </c>
    </row>
    <row r="1235" spans="1:9" x14ac:dyDescent="0.15">
      <c r="A1235" s="5">
        <v>1234</v>
      </c>
      <c r="B1235" s="6" t="s">
        <v>9</v>
      </c>
      <c r="C1235" s="7">
        <v>1882</v>
      </c>
      <c r="D1235" s="8">
        <v>45388</v>
      </c>
      <c r="E1235" s="9" t="str">
        <f>+HYPERLINK("http://trademark.i-assist.jp/data/china/image_1882th/76197956.pdf","76197956")</f>
        <v>76197956</v>
      </c>
      <c r="F1235" s="6" t="s">
        <v>3452</v>
      </c>
      <c r="G1235" s="6" t="s">
        <v>3453</v>
      </c>
      <c r="H1235" s="8" t="s">
        <v>3454</v>
      </c>
      <c r="I1235" s="14">
        <v>45295</v>
      </c>
    </row>
    <row r="1236" spans="1:9" x14ac:dyDescent="0.15">
      <c r="A1236" s="5">
        <v>1235</v>
      </c>
      <c r="B1236" s="6" t="s">
        <v>9</v>
      </c>
      <c r="C1236" s="7">
        <v>1882</v>
      </c>
      <c r="D1236" s="8">
        <v>45388</v>
      </c>
      <c r="E1236" s="9" t="str">
        <f>+HYPERLINK("http://trademark.i-assist.jp/data/china/image_1882th/76198122.pdf","76198122")</f>
        <v>76198122</v>
      </c>
      <c r="F1236" s="6" t="s">
        <v>3455</v>
      </c>
      <c r="G1236" s="6" t="s">
        <v>3456</v>
      </c>
      <c r="H1236" s="8" t="s">
        <v>3457</v>
      </c>
      <c r="I1236" s="14">
        <v>45295</v>
      </c>
    </row>
    <row r="1237" spans="1:9" x14ac:dyDescent="0.15">
      <c r="A1237" s="5">
        <v>1236</v>
      </c>
      <c r="B1237" s="6" t="s">
        <v>9</v>
      </c>
      <c r="C1237" s="7">
        <v>1882</v>
      </c>
      <c r="D1237" s="8">
        <v>45388</v>
      </c>
      <c r="E1237" s="9" t="str">
        <f>+HYPERLINK("http://trademark.i-assist.jp/data/china/image_1882th/76198137.pdf","76198137")</f>
        <v>76198137</v>
      </c>
      <c r="F1237" s="6" t="s">
        <v>3458</v>
      </c>
      <c r="G1237" s="6" t="s">
        <v>3295</v>
      </c>
      <c r="H1237" s="8" t="s">
        <v>3459</v>
      </c>
      <c r="I1237" s="14">
        <v>45295</v>
      </c>
    </row>
    <row r="1238" spans="1:9" x14ac:dyDescent="0.15">
      <c r="A1238" s="5">
        <v>1237</v>
      </c>
      <c r="B1238" s="6" t="s">
        <v>9</v>
      </c>
      <c r="C1238" s="7">
        <v>1882</v>
      </c>
      <c r="D1238" s="8">
        <v>45388</v>
      </c>
      <c r="E1238" s="9" t="str">
        <f>+HYPERLINK("http://trademark.i-assist.jp/data/china/image_1882th/76198403.pdf","76198403")</f>
        <v>76198403</v>
      </c>
      <c r="F1238" s="6" t="s">
        <v>3460</v>
      </c>
      <c r="G1238" s="6" t="s">
        <v>3461</v>
      </c>
      <c r="H1238" s="8" t="s">
        <v>3462</v>
      </c>
      <c r="I1238" s="14">
        <v>45295</v>
      </c>
    </row>
    <row r="1239" spans="1:9" x14ac:dyDescent="0.15">
      <c r="A1239" s="5">
        <v>1238</v>
      </c>
      <c r="B1239" s="6" t="s">
        <v>9</v>
      </c>
      <c r="C1239" s="7">
        <v>1882</v>
      </c>
      <c r="D1239" s="8">
        <v>45388</v>
      </c>
      <c r="E1239" s="9" t="str">
        <f>+HYPERLINK("http://trademark.i-assist.jp/data/china/image_1882th/76198538.pdf","76198538")</f>
        <v>76198538</v>
      </c>
      <c r="F1239" s="6" t="s">
        <v>3463</v>
      </c>
      <c r="G1239" s="6" t="s">
        <v>3330</v>
      </c>
      <c r="H1239" s="8" t="s">
        <v>3464</v>
      </c>
      <c r="I1239" s="14">
        <v>45295</v>
      </c>
    </row>
    <row r="1240" spans="1:9" x14ac:dyDescent="0.15">
      <c r="A1240" s="5">
        <v>1239</v>
      </c>
      <c r="B1240" s="6" t="s">
        <v>9</v>
      </c>
      <c r="C1240" s="7">
        <v>1882</v>
      </c>
      <c r="D1240" s="8">
        <v>45388</v>
      </c>
      <c r="E1240" s="9" t="str">
        <f>+HYPERLINK("http://trademark.i-assist.jp/data/china/image_1882th/76198558.pdf","76198558")</f>
        <v>76198558</v>
      </c>
      <c r="F1240" s="6" t="s">
        <v>3465</v>
      </c>
      <c r="G1240" s="6" t="s">
        <v>3466</v>
      </c>
      <c r="H1240" s="8" t="s">
        <v>3467</v>
      </c>
      <c r="I1240" s="14">
        <v>45295</v>
      </c>
    </row>
    <row r="1241" spans="1:9" x14ac:dyDescent="0.15">
      <c r="A1241" s="5">
        <v>1240</v>
      </c>
      <c r="B1241" s="6" t="s">
        <v>9</v>
      </c>
      <c r="C1241" s="7">
        <v>1882</v>
      </c>
      <c r="D1241" s="8">
        <v>45388</v>
      </c>
      <c r="E1241" s="9" t="str">
        <f>+HYPERLINK("http://trademark.i-assist.jp/data/china/image_1882th/76198638.pdf","76198638")</f>
        <v>76198638</v>
      </c>
      <c r="F1241" s="6" t="s">
        <v>3468</v>
      </c>
      <c r="G1241" s="6" t="s">
        <v>3469</v>
      </c>
      <c r="H1241" s="8" t="s">
        <v>3470</v>
      </c>
      <c r="I1241" s="14">
        <v>45295</v>
      </c>
    </row>
    <row r="1242" spans="1:9" x14ac:dyDescent="0.15">
      <c r="A1242" s="5">
        <v>1241</v>
      </c>
      <c r="B1242" s="6" t="s">
        <v>9</v>
      </c>
      <c r="C1242" s="7">
        <v>1882</v>
      </c>
      <c r="D1242" s="8">
        <v>45388</v>
      </c>
      <c r="E1242" s="9" t="str">
        <f>+HYPERLINK("http://trademark.i-assist.jp/data/china/image_1882th/76199218.pdf","76199218")</f>
        <v>76199218</v>
      </c>
      <c r="F1242" s="6" t="s">
        <v>3471</v>
      </c>
      <c r="G1242" s="6" t="s">
        <v>3472</v>
      </c>
      <c r="H1242" s="8" t="s">
        <v>3473</v>
      </c>
      <c r="I1242" s="14">
        <v>45295</v>
      </c>
    </row>
    <row r="1243" spans="1:9" x14ac:dyDescent="0.15">
      <c r="A1243" s="5">
        <v>1242</v>
      </c>
      <c r="B1243" s="6" t="s">
        <v>9</v>
      </c>
      <c r="C1243" s="7">
        <v>1882</v>
      </c>
      <c r="D1243" s="8">
        <v>45388</v>
      </c>
      <c r="E1243" s="9" t="str">
        <f>+HYPERLINK("http://trademark.i-assist.jp/data/china/image_1882th/76199273.pdf","76199273")</f>
        <v>76199273</v>
      </c>
      <c r="F1243" s="6" t="s">
        <v>26</v>
      </c>
      <c r="G1243" s="6" t="s">
        <v>585</v>
      </c>
      <c r="H1243" s="8" t="s">
        <v>3474</v>
      </c>
      <c r="I1243" s="14">
        <v>45295</v>
      </c>
    </row>
    <row r="1244" spans="1:9" x14ac:dyDescent="0.15">
      <c r="A1244" s="5">
        <v>1243</v>
      </c>
      <c r="B1244" s="6" t="s">
        <v>9</v>
      </c>
      <c r="C1244" s="7">
        <v>1882</v>
      </c>
      <c r="D1244" s="8">
        <v>45388</v>
      </c>
      <c r="E1244" s="9" t="str">
        <f>+HYPERLINK("http://trademark.i-assist.jp/data/china/image_1882th/76199373.pdf","76199373")</f>
        <v>76199373</v>
      </c>
      <c r="F1244" s="6" t="s">
        <v>3475</v>
      </c>
      <c r="G1244" s="6" t="s">
        <v>3476</v>
      </c>
      <c r="H1244" s="8" t="s">
        <v>3477</v>
      </c>
      <c r="I1244" s="14">
        <v>45295</v>
      </c>
    </row>
    <row r="1245" spans="1:9" x14ac:dyDescent="0.15">
      <c r="A1245" s="5">
        <v>1244</v>
      </c>
      <c r="B1245" s="6" t="s">
        <v>9</v>
      </c>
      <c r="C1245" s="7">
        <v>1882</v>
      </c>
      <c r="D1245" s="8">
        <v>45388</v>
      </c>
      <c r="E1245" s="9" t="str">
        <f>+HYPERLINK("http://trademark.i-assist.jp/data/china/image_1882th/76199451.pdf","76199451")</f>
        <v>76199451</v>
      </c>
      <c r="F1245" s="6" t="s">
        <v>3478</v>
      </c>
      <c r="G1245" s="6" t="s">
        <v>3479</v>
      </c>
      <c r="H1245" s="8" t="s">
        <v>3480</v>
      </c>
      <c r="I1245" s="14">
        <v>45295</v>
      </c>
    </row>
    <row r="1246" spans="1:9" x14ac:dyDescent="0.15">
      <c r="A1246" s="5">
        <v>1245</v>
      </c>
      <c r="B1246" s="6" t="s">
        <v>9</v>
      </c>
      <c r="C1246" s="7">
        <v>1882</v>
      </c>
      <c r="D1246" s="8">
        <v>45388</v>
      </c>
      <c r="E1246" s="9" t="str">
        <f>+HYPERLINK("http://trademark.i-assist.jp/data/china/image_1882th/76199535.pdf","76199535")</f>
        <v>76199535</v>
      </c>
      <c r="F1246" s="6" t="s">
        <v>3481</v>
      </c>
      <c r="G1246" s="6" t="s">
        <v>3482</v>
      </c>
      <c r="H1246" s="8" t="s">
        <v>3483</v>
      </c>
      <c r="I1246" s="14">
        <v>45295</v>
      </c>
    </row>
    <row r="1247" spans="1:9" x14ac:dyDescent="0.15">
      <c r="A1247" s="5">
        <v>1246</v>
      </c>
      <c r="B1247" s="6" t="s">
        <v>9</v>
      </c>
      <c r="C1247" s="7">
        <v>1882</v>
      </c>
      <c r="D1247" s="8">
        <v>45388</v>
      </c>
      <c r="E1247" s="9" t="str">
        <f>+HYPERLINK("http://trademark.i-assist.jp/data/china/image_1882th/76199554.pdf","76199554")</f>
        <v>76199554</v>
      </c>
      <c r="F1247" s="6" t="s">
        <v>26</v>
      </c>
      <c r="G1247" s="6" t="s">
        <v>3484</v>
      </c>
      <c r="H1247" s="8" t="s">
        <v>3485</v>
      </c>
      <c r="I1247" s="14">
        <v>45295</v>
      </c>
    </row>
    <row r="1248" spans="1:9" x14ac:dyDescent="0.15">
      <c r="A1248" s="5">
        <v>1247</v>
      </c>
      <c r="B1248" s="6" t="s">
        <v>9</v>
      </c>
      <c r="C1248" s="7">
        <v>1882</v>
      </c>
      <c r="D1248" s="8">
        <v>45388</v>
      </c>
      <c r="E1248" s="9" t="str">
        <f>+HYPERLINK("http://trademark.i-assist.jp/data/china/image_1882th/76199567.pdf","76199567")</f>
        <v>76199567</v>
      </c>
      <c r="F1248" s="6" t="s">
        <v>26</v>
      </c>
      <c r="G1248" s="6" t="s">
        <v>3486</v>
      </c>
      <c r="H1248" s="8" t="s">
        <v>3487</v>
      </c>
      <c r="I1248" s="14">
        <v>45295</v>
      </c>
    </row>
    <row r="1249" spans="1:9" x14ac:dyDescent="0.15">
      <c r="A1249" s="5">
        <v>1248</v>
      </c>
      <c r="B1249" s="6" t="s">
        <v>9</v>
      </c>
      <c r="C1249" s="7">
        <v>1882</v>
      </c>
      <c r="D1249" s="8">
        <v>45388</v>
      </c>
      <c r="E1249" s="9" t="str">
        <f>+HYPERLINK("http://trademark.i-assist.jp/data/china/image_1882th/76199646.pdf","76199646")</f>
        <v>76199646</v>
      </c>
      <c r="F1249" s="6" t="s">
        <v>3488</v>
      </c>
      <c r="G1249" s="6" t="s">
        <v>3489</v>
      </c>
      <c r="H1249" s="8" t="s">
        <v>3490</v>
      </c>
      <c r="I1249" s="14">
        <v>45295</v>
      </c>
    </row>
    <row r="1250" spans="1:9" x14ac:dyDescent="0.15">
      <c r="A1250" s="5">
        <v>1249</v>
      </c>
      <c r="B1250" s="6" t="s">
        <v>9</v>
      </c>
      <c r="C1250" s="7">
        <v>1882</v>
      </c>
      <c r="D1250" s="8">
        <v>45388</v>
      </c>
      <c r="E1250" s="9" t="str">
        <f>+HYPERLINK("http://trademark.i-assist.jp/data/china/image_1882th/76199668.pdf","76199668")</f>
        <v>76199668</v>
      </c>
      <c r="F1250" s="6" t="s">
        <v>3491</v>
      </c>
      <c r="G1250" s="6" t="s">
        <v>3492</v>
      </c>
      <c r="H1250" s="8" t="s">
        <v>3493</v>
      </c>
      <c r="I1250" s="14">
        <v>45295</v>
      </c>
    </row>
    <row r="1251" spans="1:9" x14ac:dyDescent="0.15">
      <c r="A1251" s="5">
        <v>1250</v>
      </c>
      <c r="B1251" s="6" t="s">
        <v>9</v>
      </c>
      <c r="C1251" s="7">
        <v>1882</v>
      </c>
      <c r="D1251" s="8">
        <v>45388</v>
      </c>
      <c r="E1251" s="9" t="str">
        <f>+HYPERLINK("http://trademark.i-assist.jp/data/china/image_1882th/76199672.pdf","76199672")</f>
        <v>76199672</v>
      </c>
      <c r="F1251" s="6" t="s">
        <v>3494</v>
      </c>
      <c r="G1251" s="6" t="s">
        <v>3495</v>
      </c>
      <c r="H1251" s="8" t="s">
        <v>3496</v>
      </c>
      <c r="I1251" s="14">
        <v>45295</v>
      </c>
    </row>
    <row r="1252" spans="1:9" x14ac:dyDescent="0.15">
      <c r="A1252" s="5">
        <v>1251</v>
      </c>
      <c r="B1252" s="6" t="s">
        <v>9</v>
      </c>
      <c r="C1252" s="7">
        <v>1882</v>
      </c>
      <c r="D1252" s="8">
        <v>45388</v>
      </c>
      <c r="E1252" s="9" t="str">
        <f>+HYPERLINK("http://trademark.i-assist.jp/data/china/image_1882th/76199693.pdf","76199693")</f>
        <v>76199693</v>
      </c>
      <c r="F1252" s="6" t="s">
        <v>3497</v>
      </c>
      <c r="G1252" s="6" t="s">
        <v>3498</v>
      </c>
      <c r="H1252" s="8" t="s">
        <v>3499</v>
      </c>
      <c r="I1252" s="14">
        <v>45295</v>
      </c>
    </row>
    <row r="1253" spans="1:9" x14ac:dyDescent="0.15">
      <c r="A1253" s="5">
        <v>1252</v>
      </c>
      <c r="B1253" s="6" t="s">
        <v>9</v>
      </c>
      <c r="C1253" s="7">
        <v>1882</v>
      </c>
      <c r="D1253" s="8">
        <v>45388</v>
      </c>
      <c r="E1253" s="9" t="str">
        <f>+HYPERLINK("http://trademark.i-assist.jp/data/china/image_1882th/76199706.pdf","76199706")</f>
        <v>76199706</v>
      </c>
      <c r="F1253" s="6" t="s">
        <v>3500</v>
      </c>
      <c r="G1253" s="6" t="s">
        <v>3361</v>
      </c>
      <c r="H1253" s="8" t="s">
        <v>3501</v>
      </c>
      <c r="I1253" s="14">
        <v>45295</v>
      </c>
    </row>
    <row r="1254" spans="1:9" x14ac:dyDescent="0.15">
      <c r="A1254" s="5">
        <v>1253</v>
      </c>
      <c r="B1254" s="6" t="s">
        <v>9</v>
      </c>
      <c r="C1254" s="7">
        <v>1882</v>
      </c>
      <c r="D1254" s="8">
        <v>45388</v>
      </c>
      <c r="E1254" s="9" t="str">
        <f>+HYPERLINK("http://trademark.i-assist.jp/data/china/image_1882th/76199961.pdf","76199961")</f>
        <v>76199961</v>
      </c>
      <c r="F1254" s="6" t="s">
        <v>3502</v>
      </c>
      <c r="G1254" s="6" t="s">
        <v>3283</v>
      </c>
      <c r="H1254" s="8" t="s">
        <v>3503</v>
      </c>
      <c r="I1254" s="14">
        <v>45295</v>
      </c>
    </row>
    <row r="1255" spans="1:9" x14ac:dyDescent="0.15">
      <c r="A1255" s="5">
        <v>1254</v>
      </c>
      <c r="B1255" s="6" t="s">
        <v>9</v>
      </c>
      <c r="C1255" s="7">
        <v>1882</v>
      </c>
      <c r="D1255" s="8">
        <v>45388</v>
      </c>
      <c r="E1255" s="9" t="str">
        <f>+HYPERLINK("http://trademark.i-assist.jp/data/china/image_1882th/76199977.pdf","76199977")</f>
        <v>76199977</v>
      </c>
      <c r="F1255" s="6" t="s">
        <v>3504</v>
      </c>
      <c r="G1255" s="6" t="s">
        <v>3286</v>
      </c>
      <c r="H1255" s="8" t="s">
        <v>3505</v>
      </c>
      <c r="I1255" s="14">
        <v>45295</v>
      </c>
    </row>
    <row r="1256" spans="1:9" x14ac:dyDescent="0.15">
      <c r="A1256" s="5">
        <v>1255</v>
      </c>
      <c r="B1256" s="6" t="s">
        <v>9</v>
      </c>
      <c r="C1256" s="7">
        <v>1882</v>
      </c>
      <c r="D1256" s="8">
        <v>45388</v>
      </c>
      <c r="E1256" s="9" t="str">
        <f>+HYPERLINK("http://trademark.i-assist.jp/data/china/image_1882th/76200223.pdf","76200223")</f>
        <v>76200223</v>
      </c>
      <c r="F1256" s="6" t="s">
        <v>3506</v>
      </c>
      <c r="G1256" s="6" t="s">
        <v>3507</v>
      </c>
      <c r="H1256" s="8" t="s">
        <v>3508</v>
      </c>
      <c r="I1256" s="14">
        <v>45295</v>
      </c>
    </row>
    <row r="1257" spans="1:9" x14ac:dyDescent="0.15">
      <c r="A1257" s="5">
        <v>1256</v>
      </c>
      <c r="B1257" s="6" t="s">
        <v>9</v>
      </c>
      <c r="C1257" s="7">
        <v>1882</v>
      </c>
      <c r="D1257" s="8">
        <v>45388</v>
      </c>
      <c r="E1257" s="9" t="str">
        <f>+HYPERLINK("http://trademark.i-assist.jp/data/china/image_1882th/76200285.pdf","76200285")</f>
        <v>76200285</v>
      </c>
      <c r="F1257" s="6" t="s">
        <v>3509</v>
      </c>
      <c r="G1257" s="6" t="s">
        <v>3510</v>
      </c>
      <c r="H1257" s="8" t="s">
        <v>3511</v>
      </c>
      <c r="I1257" s="14">
        <v>45295</v>
      </c>
    </row>
    <row r="1258" spans="1:9" x14ac:dyDescent="0.15">
      <c r="A1258" s="5">
        <v>1257</v>
      </c>
      <c r="B1258" s="6" t="s">
        <v>9</v>
      </c>
      <c r="C1258" s="7">
        <v>1882</v>
      </c>
      <c r="D1258" s="8">
        <v>45388</v>
      </c>
      <c r="E1258" s="9" t="str">
        <f>+HYPERLINK("http://trademark.i-assist.jp/data/china/image_1882th/76200467.pdf","76200467")</f>
        <v>76200467</v>
      </c>
      <c r="F1258" s="6" t="s">
        <v>3512</v>
      </c>
      <c r="G1258" s="6" t="s">
        <v>3513</v>
      </c>
      <c r="H1258" s="8" t="s">
        <v>3514</v>
      </c>
      <c r="I1258" s="14">
        <v>45295</v>
      </c>
    </row>
    <row r="1259" spans="1:9" x14ac:dyDescent="0.15">
      <c r="A1259" s="5">
        <v>1258</v>
      </c>
      <c r="B1259" s="6" t="s">
        <v>9</v>
      </c>
      <c r="C1259" s="7">
        <v>1882</v>
      </c>
      <c r="D1259" s="8">
        <v>45388</v>
      </c>
      <c r="E1259" s="9" t="str">
        <f>+HYPERLINK("http://trademark.i-assist.jp/data/china/image_1882th/76200651.pdf","76200651")</f>
        <v>76200651</v>
      </c>
      <c r="F1259" s="6" t="s">
        <v>3515</v>
      </c>
      <c r="G1259" s="6" t="s">
        <v>3516</v>
      </c>
      <c r="H1259" s="8" t="s">
        <v>3517</v>
      </c>
      <c r="I1259" s="14">
        <v>45295</v>
      </c>
    </row>
    <row r="1260" spans="1:9" x14ac:dyDescent="0.15">
      <c r="A1260" s="5">
        <v>1259</v>
      </c>
      <c r="B1260" s="6" t="s">
        <v>9</v>
      </c>
      <c r="C1260" s="7">
        <v>1882</v>
      </c>
      <c r="D1260" s="8">
        <v>45388</v>
      </c>
      <c r="E1260" s="9" t="str">
        <f>+HYPERLINK("http://trademark.i-assist.jp/data/china/image_1882th/76200656.pdf","76200656")</f>
        <v>76200656</v>
      </c>
      <c r="F1260" s="6" t="s">
        <v>3518</v>
      </c>
      <c r="G1260" s="6" t="s">
        <v>3519</v>
      </c>
      <c r="H1260" s="8" t="s">
        <v>3520</v>
      </c>
      <c r="I1260" s="14">
        <v>45295</v>
      </c>
    </row>
    <row r="1261" spans="1:9" x14ac:dyDescent="0.15">
      <c r="A1261" s="5">
        <v>1260</v>
      </c>
      <c r="B1261" s="6" t="s">
        <v>9</v>
      </c>
      <c r="C1261" s="7">
        <v>1882</v>
      </c>
      <c r="D1261" s="8">
        <v>45388</v>
      </c>
      <c r="E1261" s="9" t="str">
        <f>+HYPERLINK("http://trademark.i-assist.jp/data/china/image_1882th/76200975.pdf","76200975")</f>
        <v>76200975</v>
      </c>
      <c r="F1261" s="6" t="s">
        <v>3521</v>
      </c>
      <c r="G1261" s="6" t="s">
        <v>3522</v>
      </c>
      <c r="H1261" s="8" t="s">
        <v>3523</v>
      </c>
      <c r="I1261" s="14">
        <v>45295</v>
      </c>
    </row>
    <row r="1262" spans="1:9" x14ac:dyDescent="0.15">
      <c r="A1262" s="5">
        <v>1261</v>
      </c>
      <c r="B1262" s="6" t="s">
        <v>9</v>
      </c>
      <c r="C1262" s="7">
        <v>1882</v>
      </c>
      <c r="D1262" s="8">
        <v>45388</v>
      </c>
      <c r="E1262" s="9" t="str">
        <f>+HYPERLINK("http://trademark.i-assist.jp/data/china/image_1882th/76201220.pdf","76201220")</f>
        <v>76201220</v>
      </c>
      <c r="F1262" s="6" t="s">
        <v>3524</v>
      </c>
      <c r="G1262" s="6" t="s">
        <v>3525</v>
      </c>
      <c r="H1262" s="8" t="s">
        <v>3526</v>
      </c>
      <c r="I1262" s="14">
        <v>45295</v>
      </c>
    </row>
    <row r="1263" spans="1:9" x14ac:dyDescent="0.15">
      <c r="A1263" s="5">
        <v>1262</v>
      </c>
      <c r="B1263" s="6" t="s">
        <v>9</v>
      </c>
      <c r="C1263" s="7">
        <v>1882</v>
      </c>
      <c r="D1263" s="8">
        <v>45388</v>
      </c>
      <c r="E1263" s="9" t="str">
        <f>+HYPERLINK("http://trademark.i-assist.jp/data/china/image_1882th/76201436.pdf","76201436")</f>
        <v>76201436</v>
      </c>
      <c r="F1263" s="6" t="s">
        <v>3527</v>
      </c>
      <c r="G1263" s="6" t="s">
        <v>3482</v>
      </c>
      <c r="H1263" s="8" t="s">
        <v>3528</v>
      </c>
      <c r="I1263" s="14">
        <v>45295</v>
      </c>
    </row>
    <row r="1264" spans="1:9" x14ac:dyDescent="0.15">
      <c r="A1264" s="5">
        <v>1263</v>
      </c>
      <c r="B1264" s="6" t="s">
        <v>9</v>
      </c>
      <c r="C1264" s="7">
        <v>1882</v>
      </c>
      <c r="D1264" s="8">
        <v>45388</v>
      </c>
      <c r="E1264" s="9" t="str">
        <f>+HYPERLINK("http://trademark.i-assist.jp/data/china/image_1882th/76201560.pdf","76201560")</f>
        <v>76201560</v>
      </c>
      <c r="F1264" s="6" t="s">
        <v>3529</v>
      </c>
      <c r="G1264" s="6" t="s">
        <v>3530</v>
      </c>
      <c r="H1264" s="8" t="s">
        <v>3531</v>
      </c>
      <c r="I1264" s="14">
        <v>45295</v>
      </c>
    </row>
    <row r="1265" spans="1:9" x14ac:dyDescent="0.15">
      <c r="A1265" s="5">
        <v>1264</v>
      </c>
      <c r="B1265" s="6" t="s">
        <v>9</v>
      </c>
      <c r="C1265" s="7">
        <v>1882</v>
      </c>
      <c r="D1265" s="8">
        <v>45388</v>
      </c>
      <c r="E1265" s="9" t="str">
        <f>+HYPERLINK("http://trademark.i-assist.jp/data/china/image_1882th/76201642.pdf","76201642")</f>
        <v>76201642</v>
      </c>
      <c r="F1265" s="6" t="s">
        <v>3532</v>
      </c>
      <c r="G1265" s="6" t="s">
        <v>3533</v>
      </c>
      <c r="H1265" s="8" t="s">
        <v>3534</v>
      </c>
      <c r="I1265" s="14">
        <v>45295</v>
      </c>
    </row>
    <row r="1266" spans="1:9" x14ac:dyDescent="0.15">
      <c r="A1266" s="5">
        <v>1265</v>
      </c>
      <c r="B1266" s="6" t="s">
        <v>9</v>
      </c>
      <c r="C1266" s="7">
        <v>1882</v>
      </c>
      <c r="D1266" s="8">
        <v>45388</v>
      </c>
      <c r="E1266" s="9" t="str">
        <f>+HYPERLINK("http://trademark.i-assist.jp/data/china/image_1882th/76201693.pdf","76201693")</f>
        <v>76201693</v>
      </c>
      <c r="F1266" s="6" t="s">
        <v>3535</v>
      </c>
      <c r="G1266" s="6" t="s">
        <v>3536</v>
      </c>
      <c r="H1266" s="8" t="s">
        <v>3537</v>
      </c>
      <c r="I1266" s="14">
        <v>45295</v>
      </c>
    </row>
    <row r="1267" spans="1:9" x14ac:dyDescent="0.15">
      <c r="A1267" s="5">
        <v>1266</v>
      </c>
      <c r="B1267" s="6" t="s">
        <v>9</v>
      </c>
      <c r="C1267" s="7">
        <v>1882</v>
      </c>
      <c r="D1267" s="8">
        <v>45388</v>
      </c>
      <c r="E1267" s="9" t="str">
        <f>+HYPERLINK("http://trademark.i-assist.jp/data/china/image_1882th/76201729.pdf","76201729")</f>
        <v>76201729</v>
      </c>
      <c r="F1267" s="6" t="s">
        <v>3538</v>
      </c>
      <c r="G1267" s="6" t="s">
        <v>3539</v>
      </c>
      <c r="H1267" s="8" t="s">
        <v>3540</v>
      </c>
      <c r="I1267" s="14">
        <v>45295</v>
      </c>
    </row>
    <row r="1268" spans="1:9" x14ac:dyDescent="0.15">
      <c r="A1268" s="5">
        <v>1267</v>
      </c>
      <c r="B1268" s="6" t="s">
        <v>9</v>
      </c>
      <c r="C1268" s="7">
        <v>1882</v>
      </c>
      <c r="D1268" s="8">
        <v>45388</v>
      </c>
      <c r="E1268" s="9" t="str">
        <f>+HYPERLINK("http://trademark.i-assist.jp/data/china/image_1882th/76201735.pdf","76201735")</f>
        <v>76201735</v>
      </c>
      <c r="F1268" s="6" t="s">
        <v>3541</v>
      </c>
      <c r="G1268" s="6" t="s">
        <v>3542</v>
      </c>
      <c r="H1268" s="8" t="s">
        <v>3543</v>
      </c>
      <c r="I1268" s="14">
        <v>45295</v>
      </c>
    </row>
    <row r="1269" spans="1:9" x14ac:dyDescent="0.15">
      <c r="A1269" s="5">
        <v>1268</v>
      </c>
      <c r="B1269" s="6" t="s">
        <v>9</v>
      </c>
      <c r="C1269" s="7">
        <v>1882</v>
      </c>
      <c r="D1269" s="8">
        <v>45388</v>
      </c>
      <c r="E1269" s="9" t="str">
        <f>+HYPERLINK("http://trademark.i-assist.jp/data/china/image_1882th/76201951.pdf","76201951")</f>
        <v>76201951</v>
      </c>
      <c r="F1269" s="6" t="s">
        <v>26</v>
      </c>
      <c r="G1269" s="6" t="s">
        <v>3544</v>
      </c>
      <c r="H1269" s="8" t="s">
        <v>3545</v>
      </c>
      <c r="I1269" s="14">
        <v>45295</v>
      </c>
    </row>
    <row r="1270" spans="1:9" x14ac:dyDescent="0.15">
      <c r="A1270" s="5">
        <v>1269</v>
      </c>
      <c r="B1270" s="6" t="s">
        <v>9</v>
      </c>
      <c r="C1270" s="7">
        <v>1882</v>
      </c>
      <c r="D1270" s="8">
        <v>45388</v>
      </c>
      <c r="E1270" s="9" t="str">
        <f>+HYPERLINK("http://trademark.i-assist.jp/data/china/image_1882th/76202162.pdf","76202162")</f>
        <v>76202162</v>
      </c>
      <c r="F1270" s="6" t="s">
        <v>3546</v>
      </c>
      <c r="G1270" s="6" t="s">
        <v>3350</v>
      </c>
      <c r="H1270" s="8" t="s">
        <v>3547</v>
      </c>
      <c r="I1270" s="14">
        <v>45295</v>
      </c>
    </row>
    <row r="1271" spans="1:9" x14ac:dyDescent="0.15">
      <c r="A1271" s="5">
        <v>1270</v>
      </c>
      <c r="B1271" s="6" t="s">
        <v>9</v>
      </c>
      <c r="C1271" s="7">
        <v>1882</v>
      </c>
      <c r="D1271" s="8">
        <v>45388</v>
      </c>
      <c r="E1271" s="9" t="str">
        <f>+HYPERLINK("http://trademark.i-assist.jp/data/china/image_1882th/76202183.pdf","76202183")</f>
        <v>76202183</v>
      </c>
      <c r="F1271" s="6" t="s">
        <v>3548</v>
      </c>
      <c r="G1271" s="6" t="s">
        <v>3549</v>
      </c>
      <c r="H1271" s="8" t="s">
        <v>3550</v>
      </c>
      <c r="I1271" s="14">
        <v>45295</v>
      </c>
    </row>
    <row r="1272" spans="1:9" x14ac:dyDescent="0.15">
      <c r="A1272" s="5">
        <v>1271</v>
      </c>
      <c r="B1272" s="6" t="s">
        <v>9</v>
      </c>
      <c r="C1272" s="7">
        <v>1882</v>
      </c>
      <c r="D1272" s="8">
        <v>45388</v>
      </c>
      <c r="E1272" s="9" t="str">
        <f>+HYPERLINK("http://trademark.i-assist.jp/data/china/image_1882th/76202184.pdf","76202184")</f>
        <v>76202184</v>
      </c>
      <c r="F1272" s="6" t="s">
        <v>3551</v>
      </c>
      <c r="G1272" s="6" t="s">
        <v>3353</v>
      </c>
      <c r="H1272" s="8" t="s">
        <v>3552</v>
      </c>
      <c r="I1272" s="14">
        <v>45295</v>
      </c>
    </row>
    <row r="1273" spans="1:9" x14ac:dyDescent="0.15">
      <c r="A1273" s="5">
        <v>1272</v>
      </c>
      <c r="B1273" s="6" t="s">
        <v>9</v>
      </c>
      <c r="C1273" s="7">
        <v>1882</v>
      </c>
      <c r="D1273" s="8">
        <v>45388</v>
      </c>
      <c r="E1273" s="9" t="str">
        <f>+HYPERLINK("http://trademark.i-assist.jp/data/china/image_1882th/76202406.pdf","76202406")</f>
        <v>76202406</v>
      </c>
      <c r="F1273" s="6" t="s">
        <v>3553</v>
      </c>
      <c r="G1273" s="6" t="s">
        <v>3554</v>
      </c>
      <c r="H1273" s="8" t="s">
        <v>3555</v>
      </c>
      <c r="I1273" s="14">
        <v>45295</v>
      </c>
    </row>
    <row r="1274" spans="1:9" x14ac:dyDescent="0.15">
      <c r="A1274" s="5">
        <v>1273</v>
      </c>
      <c r="B1274" s="6" t="s">
        <v>9</v>
      </c>
      <c r="C1274" s="7">
        <v>1882</v>
      </c>
      <c r="D1274" s="8">
        <v>45388</v>
      </c>
      <c r="E1274" s="9" t="str">
        <f>+HYPERLINK("http://trademark.i-assist.jp/data/china/image_1882th/76202703.pdf","76202703")</f>
        <v>76202703</v>
      </c>
      <c r="F1274" s="6" t="s">
        <v>3556</v>
      </c>
      <c r="G1274" s="6" t="s">
        <v>3557</v>
      </c>
      <c r="H1274" s="8" t="s">
        <v>3558</v>
      </c>
      <c r="I1274" s="14">
        <v>45295</v>
      </c>
    </row>
    <row r="1275" spans="1:9" x14ac:dyDescent="0.15">
      <c r="A1275" s="5">
        <v>1274</v>
      </c>
      <c r="B1275" s="6" t="s">
        <v>9</v>
      </c>
      <c r="C1275" s="7">
        <v>1882</v>
      </c>
      <c r="D1275" s="8">
        <v>45388</v>
      </c>
      <c r="E1275" s="9" t="str">
        <f>+HYPERLINK("http://trademark.i-assist.jp/data/china/image_1882th/76202785.pdf","76202785")</f>
        <v>76202785</v>
      </c>
      <c r="F1275" s="6" t="s">
        <v>3559</v>
      </c>
      <c r="G1275" s="6" t="s">
        <v>3560</v>
      </c>
      <c r="H1275" s="8" t="s">
        <v>3561</v>
      </c>
      <c r="I1275" s="14">
        <v>45295</v>
      </c>
    </row>
    <row r="1276" spans="1:9" x14ac:dyDescent="0.15">
      <c r="A1276" s="5">
        <v>1275</v>
      </c>
      <c r="B1276" s="6" t="s">
        <v>9</v>
      </c>
      <c r="C1276" s="7">
        <v>1882</v>
      </c>
      <c r="D1276" s="8">
        <v>45388</v>
      </c>
      <c r="E1276" s="9" t="str">
        <f>+HYPERLINK("http://trademark.i-assist.jp/data/china/image_1882th/76202832.pdf","76202832")</f>
        <v>76202832</v>
      </c>
      <c r="F1276" s="6" t="s">
        <v>3562</v>
      </c>
      <c r="G1276" s="6" t="s">
        <v>3563</v>
      </c>
      <c r="H1276" s="8" t="s">
        <v>3564</v>
      </c>
      <c r="I1276" s="14">
        <v>45295</v>
      </c>
    </row>
    <row r="1277" spans="1:9" x14ac:dyDescent="0.15">
      <c r="A1277" s="5">
        <v>1276</v>
      </c>
      <c r="B1277" s="6" t="s">
        <v>9</v>
      </c>
      <c r="C1277" s="7">
        <v>1882</v>
      </c>
      <c r="D1277" s="8">
        <v>45388</v>
      </c>
      <c r="E1277" s="9" t="str">
        <f>+HYPERLINK("http://trademark.i-assist.jp/data/china/image_1882th/76202925.pdf","76202925")</f>
        <v>76202925</v>
      </c>
      <c r="F1277" s="6" t="s">
        <v>3565</v>
      </c>
      <c r="G1277" s="6" t="s">
        <v>3566</v>
      </c>
      <c r="H1277" s="8" t="s">
        <v>3567</v>
      </c>
      <c r="I1277" s="14">
        <v>45295</v>
      </c>
    </row>
    <row r="1278" spans="1:9" x14ac:dyDescent="0.15">
      <c r="A1278" s="5">
        <v>1277</v>
      </c>
      <c r="B1278" s="6" t="s">
        <v>9</v>
      </c>
      <c r="C1278" s="7">
        <v>1882</v>
      </c>
      <c r="D1278" s="8">
        <v>45388</v>
      </c>
      <c r="E1278" s="9" t="str">
        <f>+HYPERLINK("http://trademark.i-assist.jp/data/china/image_1882th/76202947.pdf","76202947")</f>
        <v>76202947</v>
      </c>
      <c r="F1278" s="6" t="s">
        <v>3568</v>
      </c>
      <c r="G1278" s="6" t="s">
        <v>3441</v>
      </c>
      <c r="H1278" s="8" t="s">
        <v>3569</v>
      </c>
      <c r="I1278" s="14">
        <v>45295</v>
      </c>
    </row>
    <row r="1279" spans="1:9" x14ac:dyDescent="0.15">
      <c r="A1279" s="5">
        <v>1278</v>
      </c>
      <c r="B1279" s="6" t="s">
        <v>9</v>
      </c>
      <c r="C1279" s="7">
        <v>1882</v>
      </c>
      <c r="D1279" s="8">
        <v>45388</v>
      </c>
      <c r="E1279" s="9" t="str">
        <f>+HYPERLINK("http://trademark.i-assist.jp/data/china/image_1882th/76202954.pdf","76202954")</f>
        <v>76202954</v>
      </c>
      <c r="F1279" s="6" t="s">
        <v>3570</v>
      </c>
      <c r="G1279" s="6" t="s">
        <v>3441</v>
      </c>
      <c r="H1279" s="8" t="s">
        <v>3571</v>
      </c>
      <c r="I1279" s="14">
        <v>45295</v>
      </c>
    </row>
    <row r="1280" spans="1:9" x14ac:dyDescent="0.15">
      <c r="A1280" s="5">
        <v>1279</v>
      </c>
      <c r="B1280" s="6" t="s">
        <v>9</v>
      </c>
      <c r="C1280" s="7">
        <v>1882</v>
      </c>
      <c r="D1280" s="8">
        <v>45388</v>
      </c>
      <c r="E1280" s="9" t="str">
        <f>+HYPERLINK("http://trademark.i-assist.jp/data/china/image_1882th/76202977.pdf","76202977")</f>
        <v>76202977</v>
      </c>
      <c r="F1280" s="6" t="s">
        <v>3572</v>
      </c>
      <c r="G1280" s="6" t="s">
        <v>3573</v>
      </c>
      <c r="H1280" s="8" t="s">
        <v>3574</v>
      </c>
      <c r="I1280" s="14">
        <v>45295</v>
      </c>
    </row>
    <row r="1281" spans="1:9" x14ac:dyDescent="0.15">
      <c r="A1281" s="5">
        <v>1280</v>
      </c>
      <c r="B1281" s="6" t="s">
        <v>9</v>
      </c>
      <c r="C1281" s="7">
        <v>1882</v>
      </c>
      <c r="D1281" s="8">
        <v>45388</v>
      </c>
      <c r="E1281" s="9" t="str">
        <f>+HYPERLINK("http://trademark.i-assist.jp/data/china/image_1882th/76203288.pdf","76203288")</f>
        <v>76203288</v>
      </c>
      <c r="F1281" s="6" t="s">
        <v>26</v>
      </c>
      <c r="G1281" s="6" t="s">
        <v>3575</v>
      </c>
      <c r="H1281" s="8" t="s">
        <v>3576</v>
      </c>
      <c r="I1281" s="14">
        <v>45295</v>
      </c>
    </row>
    <row r="1282" spans="1:9" x14ac:dyDescent="0.15">
      <c r="A1282" s="5">
        <v>1281</v>
      </c>
      <c r="B1282" s="6" t="s">
        <v>9</v>
      </c>
      <c r="C1282" s="7">
        <v>1882</v>
      </c>
      <c r="D1282" s="8">
        <v>45388</v>
      </c>
      <c r="E1282" s="9" t="str">
        <f>+HYPERLINK("http://trademark.i-assist.jp/data/china/image_1882th/76203351.pdf","76203351")</f>
        <v>76203351</v>
      </c>
      <c r="F1282" s="6" t="s">
        <v>3577</v>
      </c>
      <c r="G1282" s="6" t="s">
        <v>3578</v>
      </c>
      <c r="H1282" s="8" t="s">
        <v>3579</v>
      </c>
      <c r="I1282" s="14">
        <v>45295</v>
      </c>
    </row>
    <row r="1283" spans="1:9" x14ac:dyDescent="0.15">
      <c r="A1283" s="5">
        <v>1282</v>
      </c>
      <c r="B1283" s="6" t="s">
        <v>9</v>
      </c>
      <c r="C1283" s="7">
        <v>1882</v>
      </c>
      <c r="D1283" s="8">
        <v>45388</v>
      </c>
      <c r="E1283" s="9" t="str">
        <f>+HYPERLINK("http://trademark.i-assist.jp/data/china/image_1882th/76203389.pdf","76203389")</f>
        <v>76203389</v>
      </c>
      <c r="F1283" s="6" t="s">
        <v>3580</v>
      </c>
      <c r="G1283" s="6" t="s">
        <v>3581</v>
      </c>
      <c r="H1283" s="8" t="s">
        <v>3582</v>
      </c>
      <c r="I1283" s="14">
        <v>45295</v>
      </c>
    </row>
    <row r="1284" spans="1:9" x14ac:dyDescent="0.15">
      <c r="A1284" s="5">
        <v>1283</v>
      </c>
      <c r="B1284" s="6" t="s">
        <v>9</v>
      </c>
      <c r="C1284" s="7">
        <v>1882</v>
      </c>
      <c r="D1284" s="8">
        <v>45388</v>
      </c>
      <c r="E1284" s="9" t="str">
        <f>+HYPERLINK("http://trademark.i-assist.jp/data/china/image_1882th/76203417.pdf","76203417")</f>
        <v>76203417</v>
      </c>
      <c r="F1284" s="6" t="s">
        <v>3583</v>
      </c>
      <c r="G1284" s="6" t="s">
        <v>3584</v>
      </c>
      <c r="H1284" s="8" t="s">
        <v>3585</v>
      </c>
      <c r="I1284" s="14">
        <v>45295</v>
      </c>
    </row>
    <row r="1285" spans="1:9" x14ac:dyDescent="0.15">
      <c r="A1285" s="5">
        <v>1284</v>
      </c>
      <c r="B1285" s="6" t="s">
        <v>9</v>
      </c>
      <c r="C1285" s="7">
        <v>1882</v>
      </c>
      <c r="D1285" s="8">
        <v>45388</v>
      </c>
      <c r="E1285" s="9" t="str">
        <f>+HYPERLINK("http://trademark.i-assist.jp/data/china/image_1882th/76203469.pdf","76203469")</f>
        <v>76203469</v>
      </c>
      <c r="F1285" s="6" t="s">
        <v>3586</v>
      </c>
      <c r="G1285" s="6" t="s">
        <v>3587</v>
      </c>
      <c r="H1285" s="8" t="s">
        <v>3588</v>
      </c>
      <c r="I1285" s="14">
        <v>45295</v>
      </c>
    </row>
    <row r="1286" spans="1:9" x14ac:dyDescent="0.15">
      <c r="A1286" s="5">
        <v>1285</v>
      </c>
      <c r="B1286" s="6" t="s">
        <v>9</v>
      </c>
      <c r="C1286" s="7">
        <v>1882</v>
      </c>
      <c r="D1286" s="8">
        <v>45388</v>
      </c>
      <c r="E1286" s="9" t="str">
        <f>+HYPERLINK("http://trademark.i-assist.jp/data/china/image_1882th/76203608.pdf","76203608")</f>
        <v>76203608</v>
      </c>
      <c r="F1286" s="6" t="s">
        <v>3589</v>
      </c>
      <c r="G1286" s="6" t="s">
        <v>3590</v>
      </c>
      <c r="H1286" s="8" t="s">
        <v>3591</v>
      </c>
      <c r="I1286" s="14">
        <v>45295</v>
      </c>
    </row>
    <row r="1287" spans="1:9" x14ac:dyDescent="0.15">
      <c r="A1287" s="5">
        <v>1286</v>
      </c>
      <c r="B1287" s="6" t="s">
        <v>9</v>
      </c>
      <c r="C1287" s="7">
        <v>1882</v>
      </c>
      <c r="D1287" s="8">
        <v>45388</v>
      </c>
      <c r="E1287" s="9" t="str">
        <f>+HYPERLINK("http://trademark.i-assist.jp/data/china/image_1882th/76203649.pdf","76203649")</f>
        <v>76203649</v>
      </c>
      <c r="F1287" s="6" t="s">
        <v>3592</v>
      </c>
      <c r="G1287" s="6" t="s">
        <v>3593</v>
      </c>
      <c r="H1287" s="8" t="s">
        <v>3594</v>
      </c>
      <c r="I1287" s="14">
        <v>45295</v>
      </c>
    </row>
    <row r="1288" spans="1:9" x14ac:dyDescent="0.15">
      <c r="A1288" s="5">
        <v>1287</v>
      </c>
      <c r="B1288" s="6" t="s">
        <v>9</v>
      </c>
      <c r="C1288" s="7">
        <v>1882</v>
      </c>
      <c r="D1288" s="8">
        <v>45388</v>
      </c>
      <c r="E1288" s="9" t="str">
        <f>+HYPERLINK("http://trademark.i-assist.jp/data/china/image_1882th/76203978.pdf","76203978")</f>
        <v>76203978</v>
      </c>
      <c r="F1288" s="6" t="s">
        <v>3595</v>
      </c>
      <c r="G1288" s="6" t="s">
        <v>3596</v>
      </c>
      <c r="H1288" s="8" t="s">
        <v>3597</v>
      </c>
      <c r="I1288" s="14">
        <v>45295</v>
      </c>
    </row>
    <row r="1289" spans="1:9" x14ac:dyDescent="0.15">
      <c r="A1289" s="5">
        <v>1288</v>
      </c>
      <c r="B1289" s="6" t="s">
        <v>9</v>
      </c>
      <c r="C1289" s="7">
        <v>1882</v>
      </c>
      <c r="D1289" s="8">
        <v>45388</v>
      </c>
      <c r="E1289" s="9" t="str">
        <f>+HYPERLINK("http://trademark.i-assist.jp/data/china/image_1882th/76204054.pdf","76204054")</f>
        <v>76204054</v>
      </c>
      <c r="F1289" s="6" t="s">
        <v>3598</v>
      </c>
      <c r="G1289" s="6" t="s">
        <v>3599</v>
      </c>
      <c r="H1289" s="8" t="s">
        <v>3600</v>
      </c>
      <c r="I1289" s="14">
        <v>45295</v>
      </c>
    </row>
    <row r="1290" spans="1:9" x14ac:dyDescent="0.15">
      <c r="A1290" s="5">
        <v>1289</v>
      </c>
      <c r="B1290" s="6" t="s">
        <v>9</v>
      </c>
      <c r="C1290" s="7">
        <v>1882</v>
      </c>
      <c r="D1290" s="8">
        <v>45388</v>
      </c>
      <c r="E1290" s="9" t="str">
        <f>+HYPERLINK("http://trademark.i-assist.jp/data/china/image_1882th/76204080.pdf","76204080")</f>
        <v>76204080</v>
      </c>
      <c r="F1290" s="6" t="s">
        <v>3601</v>
      </c>
      <c r="G1290" s="6" t="s">
        <v>3602</v>
      </c>
      <c r="H1290" s="8" t="s">
        <v>3603</v>
      </c>
      <c r="I1290" s="14">
        <v>45295</v>
      </c>
    </row>
    <row r="1291" spans="1:9" x14ac:dyDescent="0.15">
      <c r="A1291" s="5">
        <v>1290</v>
      </c>
      <c r="B1291" s="6" t="s">
        <v>9</v>
      </c>
      <c r="C1291" s="7">
        <v>1882</v>
      </c>
      <c r="D1291" s="8">
        <v>45388</v>
      </c>
      <c r="E1291" s="9" t="str">
        <f>+HYPERLINK("http://trademark.i-assist.jp/data/china/image_1882th/76204838.pdf","76204838")</f>
        <v>76204838</v>
      </c>
      <c r="F1291" s="6" t="s">
        <v>3604</v>
      </c>
      <c r="G1291" s="6" t="s">
        <v>3605</v>
      </c>
      <c r="H1291" s="8" t="s">
        <v>3606</v>
      </c>
      <c r="I1291" s="14">
        <v>45296</v>
      </c>
    </row>
    <row r="1292" spans="1:9" x14ac:dyDescent="0.15">
      <c r="A1292" s="5">
        <v>1291</v>
      </c>
      <c r="B1292" s="6" t="s">
        <v>9</v>
      </c>
      <c r="C1292" s="7">
        <v>1882</v>
      </c>
      <c r="D1292" s="8">
        <v>45388</v>
      </c>
      <c r="E1292" s="9" t="str">
        <f>+HYPERLINK("http://trademark.i-assist.jp/data/china/image_1882th/76205184.pdf","76205184")</f>
        <v>76205184</v>
      </c>
      <c r="F1292" s="6" t="s">
        <v>3607</v>
      </c>
      <c r="G1292" s="6" t="s">
        <v>3608</v>
      </c>
      <c r="H1292" s="8" t="s">
        <v>3609</v>
      </c>
      <c r="I1292" s="14">
        <v>45296</v>
      </c>
    </row>
    <row r="1293" spans="1:9" x14ac:dyDescent="0.15">
      <c r="A1293" s="5">
        <v>1292</v>
      </c>
      <c r="B1293" s="6" t="s">
        <v>9</v>
      </c>
      <c r="C1293" s="7">
        <v>1882</v>
      </c>
      <c r="D1293" s="8">
        <v>45388</v>
      </c>
      <c r="E1293" s="9" t="str">
        <f>+HYPERLINK("http://trademark.i-assist.jp/data/china/image_1882th/76205195.pdf","76205195")</f>
        <v>76205195</v>
      </c>
      <c r="F1293" s="6" t="s">
        <v>3610</v>
      </c>
      <c r="G1293" s="6" t="s">
        <v>3611</v>
      </c>
      <c r="H1293" s="8" t="s">
        <v>3612</v>
      </c>
      <c r="I1293" s="14">
        <v>45296</v>
      </c>
    </row>
    <row r="1294" spans="1:9" x14ac:dyDescent="0.15">
      <c r="A1294" s="5">
        <v>1293</v>
      </c>
      <c r="B1294" s="6" t="s">
        <v>9</v>
      </c>
      <c r="C1294" s="7">
        <v>1882</v>
      </c>
      <c r="D1294" s="8">
        <v>45388</v>
      </c>
      <c r="E1294" s="9" t="str">
        <f>+HYPERLINK("http://trademark.i-assist.jp/data/china/image_1882th/76205214.pdf","76205214")</f>
        <v>76205214</v>
      </c>
      <c r="F1294" s="6" t="s">
        <v>3613</v>
      </c>
      <c r="G1294" s="6" t="s">
        <v>3614</v>
      </c>
      <c r="H1294" s="8" t="s">
        <v>3615</v>
      </c>
      <c r="I1294" s="14">
        <v>45296</v>
      </c>
    </row>
    <row r="1295" spans="1:9" x14ac:dyDescent="0.15">
      <c r="A1295" s="5">
        <v>1294</v>
      </c>
      <c r="B1295" s="6" t="s">
        <v>9</v>
      </c>
      <c r="C1295" s="7">
        <v>1882</v>
      </c>
      <c r="D1295" s="8">
        <v>45388</v>
      </c>
      <c r="E1295" s="9" t="str">
        <f>+HYPERLINK("http://trademark.i-assist.jp/data/china/image_1882th/76205255.pdf","76205255")</f>
        <v>76205255</v>
      </c>
      <c r="F1295" s="6" t="s">
        <v>3616</v>
      </c>
      <c r="G1295" s="6" t="s">
        <v>3617</v>
      </c>
      <c r="H1295" s="8" t="s">
        <v>3618</v>
      </c>
      <c r="I1295" s="14">
        <v>45296</v>
      </c>
    </row>
    <row r="1296" spans="1:9" x14ac:dyDescent="0.15">
      <c r="A1296" s="5">
        <v>1295</v>
      </c>
      <c r="B1296" s="6" t="s">
        <v>9</v>
      </c>
      <c r="C1296" s="7">
        <v>1882</v>
      </c>
      <c r="D1296" s="8">
        <v>45388</v>
      </c>
      <c r="E1296" s="9" t="str">
        <f>+HYPERLINK("http://trademark.i-assist.jp/data/china/image_1882th/76205477.pdf","76205477")</f>
        <v>76205477</v>
      </c>
      <c r="F1296" s="6" t="s">
        <v>3619</v>
      </c>
      <c r="G1296" s="6" t="s">
        <v>3620</v>
      </c>
      <c r="H1296" s="8" t="s">
        <v>3621</v>
      </c>
      <c r="I1296" s="14">
        <v>45296</v>
      </c>
    </row>
    <row r="1297" spans="1:9" x14ac:dyDescent="0.15">
      <c r="A1297" s="5">
        <v>1296</v>
      </c>
      <c r="B1297" s="6" t="s">
        <v>9</v>
      </c>
      <c r="C1297" s="7">
        <v>1882</v>
      </c>
      <c r="D1297" s="8">
        <v>45388</v>
      </c>
      <c r="E1297" s="9" t="str">
        <f>+HYPERLINK("http://trademark.i-assist.jp/data/china/image_1882th/76205526.pdf","76205526")</f>
        <v>76205526</v>
      </c>
      <c r="F1297" s="6" t="s">
        <v>3622</v>
      </c>
      <c r="G1297" s="6" t="s">
        <v>3623</v>
      </c>
      <c r="H1297" s="8" t="s">
        <v>3390</v>
      </c>
      <c r="I1297" s="14">
        <v>45296</v>
      </c>
    </row>
    <row r="1298" spans="1:9" x14ac:dyDescent="0.15">
      <c r="A1298" s="5">
        <v>1297</v>
      </c>
      <c r="B1298" s="6" t="s">
        <v>9</v>
      </c>
      <c r="C1298" s="7">
        <v>1882</v>
      </c>
      <c r="D1298" s="8">
        <v>45388</v>
      </c>
      <c r="E1298" s="9" t="str">
        <f>+HYPERLINK("http://trademark.i-assist.jp/data/china/image_1882th/76205730.pdf","76205730")</f>
        <v>76205730</v>
      </c>
      <c r="F1298" s="6" t="s">
        <v>3624</v>
      </c>
      <c r="G1298" s="6" t="s">
        <v>3625</v>
      </c>
      <c r="H1298" s="8" t="s">
        <v>3626</v>
      </c>
      <c r="I1298" s="14">
        <v>45296</v>
      </c>
    </row>
    <row r="1299" spans="1:9" x14ac:dyDescent="0.15">
      <c r="A1299" s="5">
        <v>1298</v>
      </c>
      <c r="B1299" s="6" t="s">
        <v>9</v>
      </c>
      <c r="C1299" s="7">
        <v>1882</v>
      </c>
      <c r="D1299" s="8">
        <v>45388</v>
      </c>
      <c r="E1299" s="9" t="str">
        <f>+HYPERLINK("http://trademark.i-assist.jp/data/china/image_1882th/76205857.pdf","76205857")</f>
        <v>76205857</v>
      </c>
      <c r="F1299" s="6" t="s">
        <v>26</v>
      </c>
      <c r="G1299" s="6" t="s">
        <v>3627</v>
      </c>
      <c r="H1299" s="8" t="s">
        <v>3628</v>
      </c>
      <c r="I1299" s="14">
        <v>45296</v>
      </c>
    </row>
    <row r="1300" spans="1:9" x14ac:dyDescent="0.15">
      <c r="A1300" s="5">
        <v>1299</v>
      </c>
      <c r="B1300" s="6" t="s">
        <v>9</v>
      </c>
      <c r="C1300" s="7">
        <v>1882</v>
      </c>
      <c r="D1300" s="8">
        <v>45388</v>
      </c>
      <c r="E1300" s="9" t="str">
        <f>+HYPERLINK("http://trademark.i-assist.jp/data/china/image_1882th/76206063.pdf","76206063")</f>
        <v>76206063</v>
      </c>
      <c r="F1300" s="6" t="s">
        <v>3629</v>
      </c>
      <c r="G1300" s="6" t="s">
        <v>3630</v>
      </c>
      <c r="H1300" s="8" t="s">
        <v>3631</v>
      </c>
      <c r="I1300" s="14">
        <v>45296</v>
      </c>
    </row>
    <row r="1301" spans="1:9" x14ac:dyDescent="0.15">
      <c r="A1301" s="5">
        <v>1300</v>
      </c>
      <c r="B1301" s="6" t="s">
        <v>9</v>
      </c>
      <c r="C1301" s="7">
        <v>1882</v>
      </c>
      <c r="D1301" s="8">
        <v>45388</v>
      </c>
      <c r="E1301" s="9" t="str">
        <f>+HYPERLINK("http://trademark.i-assist.jp/data/china/image_1882th/76206145.pdf","76206145")</f>
        <v>76206145</v>
      </c>
      <c r="F1301" s="6" t="s">
        <v>3632</v>
      </c>
      <c r="G1301" s="6" t="s">
        <v>3633</v>
      </c>
      <c r="H1301" s="8" t="s">
        <v>3634</v>
      </c>
      <c r="I1301" s="14">
        <v>45296</v>
      </c>
    </row>
    <row r="1302" spans="1:9" x14ac:dyDescent="0.15">
      <c r="A1302" s="5">
        <v>1301</v>
      </c>
      <c r="B1302" s="6" t="s">
        <v>9</v>
      </c>
      <c r="C1302" s="7">
        <v>1882</v>
      </c>
      <c r="D1302" s="8">
        <v>45388</v>
      </c>
      <c r="E1302" s="9" t="str">
        <f>+HYPERLINK("http://trademark.i-assist.jp/data/china/image_1882th/76206153.pdf","76206153")</f>
        <v>76206153</v>
      </c>
      <c r="F1302" s="6" t="s">
        <v>3635</v>
      </c>
      <c r="G1302" s="6" t="s">
        <v>3636</v>
      </c>
      <c r="H1302" s="8" t="s">
        <v>3637</v>
      </c>
      <c r="I1302" s="14">
        <v>45296</v>
      </c>
    </row>
    <row r="1303" spans="1:9" x14ac:dyDescent="0.15">
      <c r="A1303" s="5">
        <v>1302</v>
      </c>
      <c r="B1303" s="6" t="s">
        <v>9</v>
      </c>
      <c r="C1303" s="7">
        <v>1882</v>
      </c>
      <c r="D1303" s="8">
        <v>45388</v>
      </c>
      <c r="E1303" s="9" t="str">
        <f>+HYPERLINK("http://trademark.i-assist.jp/data/china/image_1882th/76206361.pdf","76206361")</f>
        <v>76206361</v>
      </c>
      <c r="F1303" s="6" t="s">
        <v>3638</v>
      </c>
      <c r="G1303" s="6" t="s">
        <v>3639</v>
      </c>
      <c r="H1303" s="8" t="s">
        <v>3640</v>
      </c>
      <c r="I1303" s="14">
        <v>45296</v>
      </c>
    </row>
    <row r="1304" spans="1:9" x14ac:dyDescent="0.15">
      <c r="A1304" s="5">
        <v>1303</v>
      </c>
      <c r="B1304" s="6" t="s">
        <v>9</v>
      </c>
      <c r="C1304" s="7">
        <v>1882</v>
      </c>
      <c r="D1304" s="8">
        <v>45388</v>
      </c>
      <c r="E1304" s="9" t="str">
        <f>+HYPERLINK("http://trademark.i-assist.jp/data/china/image_1882th/76206380.pdf","76206380")</f>
        <v>76206380</v>
      </c>
      <c r="F1304" s="6" t="s">
        <v>3641</v>
      </c>
      <c r="G1304" s="6" t="s">
        <v>3642</v>
      </c>
      <c r="H1304" s="8" t="s">
        <v>3643</v>
      </c>
      <c r="I1304" s="14">
        <v>45296</v>
      </c>
    </row>
    <row r="1305" spans="1:9" x14ac:dyDescent="0.15">
      <c r="A1305" s="5">
        <v>1304</v>
      </c>
      <c r="B1305" s="6" t="s">
        <v>9</v>
      </c>
      <c r="C1305" s="7">
        <v>1882</v>
      </c>
      <c r="D1305" s="8">
        <v>45388</v>
      </c>
      <c r="E1305" s="9" t="str">
        <f>+HYPERLINK("http://trademark.i-assist.jp/data/china/image_1882th/76206661.pdf","76206661")</f>
        <v>76206661</v>
      </c>
      <c r="F1305" s="6" t="s">
        <v>3644</v>
      </c>
      <c r="G1305" s="6" t="s">
        <v>3645</v>
      </c>
      <c r="H1305" s="8" t="s">
        <v>3646</v>
      </c>
      <c r="I1305" s="14">
        <v>45296</v>
      </c>
    </row>
    <row r="1306" spans="1:9" x14ac:dyDescent="0.15">
      <c r="A1306" s="5">
        <v>1305</v>
      </c>
      <c r="B1306" s="6" t="s">
        <v>9</v>
      </c>
      <c r="C1306" s="7">
        <v>1882</v>
      </c>
      <c r="D1306" s="8">
        <v>45388</v>
      </c>
      <c r="E1306" s="9" t="str">
        <f>+HYPERLINK("http://trademark.i-assist.jp/data/china/image_1882th/76206718.pdf","76206718")</f>
        <v>76206718</v>
      </c>
      <c r="F1306" s="6" t="s">
        <v>3647</v>
      </c>
      <c r="G1306" s="6" t="s">
        <v>3648</v>
      </c>
      <c r="H1306" s="8" t="s">
        <v>3649</v>
      </c>
      <c r="I1306" s="14">
        <v>45296</v>
      </c>
    </row>
    <row r="1307" spans="1:9" x14ac:dyDescent="0.15">
      <c r="A1307" s="5">
        <v>1306</v>
      </c>
      <c r="B1307" s="6" t="s">
        <v>9</v>
      </c>
      <c r="C1307" s="7">
        <v>1882</v>
      </c>
      <c r="D1307" s="8">
        <v>45388</v>
      </c>
      <c r="E1307" s="9" t="str">
        <f>+HYPERLINK("http://trademark.i-assist.jp/data/china/image_1882th/76207284.pdf","76207284")</f>
        <v>76207284</v>
      </c>
      <c r="F1307" s="6" t="s">
        <v>3650</v>
      </c>
      <c r="G1307" s="6" t="s">
        <v>3651</v>
      </c>
      <c r="H1307" s="8" t="s">
        <v>3652</v>
      </c>
      <c r="I1307" s="14">
        <v>45296</v>
      </c>
    </row>
    <row r="1308" spans="1:9" x14ac:dyDescent="0.15">
      <c r="A1308" s="5">
        <v>1307</v>
      </c>
      <c r="B1308" s="6" t="s">
        <v>9</v>
      </c>
      <c r="C1308" s="7">
        <v>1882</v>
      </c>
      <c r="D1308" s="8">
        <v>45388</v>
      </c>
      <c r="E1308" s="9" t="str">
        <f>+HYPERLINK("http://trademark.i-assist.jp/data/china/image_1882th/76207325.pdf","76207325")</f>
        <v>76207325</v>
      </c>
      <c r="F1308" s="6" t="s">
        <v>3653</v>
      </c>
      <c r="G1308" s="6" t="s">
        <v>3654</v>
      </c>
      <c r="H1308" s="8" t="s">
        <v>3655</v>
      </c>
      <c r="I1308" s="14">
        <v>45296</v>
      </c>
    </row>
    <row r="1309" spans="1:9" x14ac:dyDescent="0.15">
      <c r="A1309" s="5">
        <v>1308</v>
      </c>
      <c r="B1309" s="6" t="s">
        <v>9</v>
      </c>
      <c r="C1309" s="7">
        <v>1882</v>
      </c>
      <c r="D1309" s="8">
        <v>45388</v>
      </c>
      <c r="E1309" s="9" t="str">
        <f>+HYPERLINK("http://trademark.i-assist.jp/data/china/image_1882th/76207378.pdf","76207378")</f>
        <v>76207378</v>
      </c>
      <c r="F1309" s="6" t="s">
        <v>3656</v>
      </c>
      <c r="G1309" s="6" t="s">
        <v>3657</v>
      </c>
      <c r="H1309" s="8" t="s">
        <v>3658</v>
      </c>
      <c r="I1309" s="14">
        <v>45296</v>
      </c>
    </row>
    <row r="1310" spans="1:9" x14ac:dyDescent="0.15">
      <c r="A1310" s="5">
        <v>1309</v>
      </c>
      <c r="B1310" s="6" t="s">
        <v>9</v>
      </c>
      <c r="C1310" s="7">
        <v>1882</v>
      </c>
      <c r="D1310" s="8">
        <v>45388</v>
      </c>
      <c r="E1310" s="9" t="str">
        <f>+HYPERLINK("http://trademark.i-assist.jp/data/china/image_1882th/76207628.pdf","76207628")</f>
        <v>76207628</v>
      </c>
      <c r="F1310" s="6" t="s">
        <v>3659</v>
      </c>
      <c r="G1310" s="6" t="s">
        <v>3660</v>
      </c>
      <c r="H1310" s="8" t="s">
        <v>3661</v>
      </c>
      <c r="I1310" s="14">
        <v>45296</v>
      </c>
    </row>
    <row r="1311" spans="1:9" x14ac:dyDescent="0.15">
      <c r="A1311" s="5">
        <v>1310</v>
      </c>
      <c r="B1311" s="6" t="s">
        <v>9</v>
      </c>
      <c r="C1311" s="7">
        <v>1882</v>
      </c>
      <c r="D1311" s="8">
        <v>45388</v>
      </c>
      <c r="E1311" s="9" t="str">
        <f>+HYPERLINK("http://trademark.i-assist.jp/data/china/image_1882th/76207731.pdf","76207731")</f>
        <v>76207731</v>
      </c>
      <c r="F1311" s="6" t="s">
        <v>3662</v>
      </c>
      <c r="G1311" s="6" t="s">
        <v>3663</v>
      </c>
      <c r="H1311" s="8" t="s">
        <v>3664</v>
      </c>
      <c r="I1311" s="14">
        <v>45296</v>
      </c>
    </row>
    <row r="1312" spans="1:9" x14ac:dyDescent="0.15">
      <c r="A1312" s="5">
        <v>1311</v>
      </c>
      <c r="B1312" s="6" t="s">
        <v>9</v>
      </c>
      <c r="C1312" s="7">
        <v>1882</v>
      </c>
      <c r="D1312" s="8">
        <v>45388</v>
      </c>
      <c r="E1312" s="9" t="str">
        <f>+HYPERLINK("http://trademark.i-assist.jp/data/china/image_1882th/76207750.pdf","76207750")</f>
        <v>76207750</v>
      </c>
      <c r="F1312" s="6" t="s">
        <v>3665</v>
      </c>
      <c r="G1312" s="6" t="s">
        <v>3666</v>
      </c>
      <c r="H1312" s="8" t="s">
        <v>3667</v>
      </c>
      <c r="I1312" s="14">
        <v>45296</v>
      </c>
    </row>
    <row r="1313" spans="1:9" x14ac:dyDescent="0.15">
      <c r="A1313" s="5">
        <v>1312</v>
      </c>
      <c r="B1313" s="6" t="s">
        <v>9</v>
      </c>
      <c r="C1313" s="7">
        <v>1882</v>
      </c>
      <c r="D1313" s="8">
        <v>45388</v>
      </c>
      <c r="E1313" s="9" t="str">
        <f>+HYPERLINK("http://trademark.i-assist.jp/data/china/image_1882th/76207851.pdf","76207851")</f>
        <v>76207851</v>
      </c>
      <c r="F1313" s="6" t="s">
        <v>3668</v>
      </c>
      <c r="G1313" s="6" t="s">
        <v>2995</v>
      </c>
      <c r="H1313" s="8" t="s">
        <v>3669</v>
      </c>
      <c r="I1313" s="14">
        <v>45296</v>
      </c>
    </row>
    <row r="1314" spans="1:9" x14ac:dyDescent="0.15">
      <c r="A1314" s="5">
        <v>1313</v>
      </c>
      <c r="B1314" s="6" t="s">
        <v>9</v>
      </c>
      <c r="C1314" s="7">
        <v>1882</v>
      </c>
      <c r="D1314" s="8">
        <v>45388</v>
      </c>
      <c r="E1314" s="9" t="str">
        <f>+HYPERLINK("http://trademark.i-assist.jp/data/china/image_1882th/76207929.pdf","76207929")</f>
        <v>76207929</v>
      </c>
      <c r="F1314" s="6" t="s">
        <v>3670</v>
      </c>
      <c r="G1314" s="6" t="s">
        <v>3671</v>
      </c>
      <c r="H1314" s="8" t="s">
        <v>3672</v>
      </c>
      <c r="I1314" s="14">
        <v>45296</v>
      </c>
    </row>
    <row r="1315" spans="1:9" x14ac:dyDescent="0.15">
      <c r="A1315" s="5">
        <v>1314</v>
      </c>
      <c r="B1315" s="6" t="s">
        <v>9</v>
      </c>
      <c r="C1315" s="7">
        <v>1882</v>
      </c>
      <c r="D1315" s="8">
        <v>45388</v>
      </c>
      <c r="E1315" s="9" t="str">
        <f>+HYPERLINK("http://trademark.i-assist.jp/data/china/image_1882th/76207951.pdf","76207951")</f>
        <v>76207951</v>
      </c>
      <c r="F1315" s="6" t="s">
        <v>3673</v>
      </c>
      <c r="G1315" s="6" t="s">
        <v>3674</v>
      </c>
      <c r="H1315" s="8" t="s">
        <v>3675</v>
      </c>
      <c r="I1315" s="14">
        <v>45296</v>
      </c>
    </row>
    <row r="1316" spans="1:9" x14ac:dyDescent="0.15">
      <c r="A1316" s="5">
        <v>1315</v>
      </c>
      <c r="B1316" s="6" t="s">
        <v>9</v>
      </c>
      <c r="C1316" s="7">
        <v>1882</v>
      </c>
      <c r="D1316" s="8">
        <v>45388</v>
      </c>
      <c r="E1316" s="9" t="str">
        <f>+HYPERLINK("http://trademark.i-assist.jp/data/china/image_1882th/76207986.pdf","76207986")</f>
        <v>76207986</v>
      </c>
      <c r="F1316" s="6" t="s">
        <v>3676</v>
      </c>
      <c r="G1316" s="6" t="s">
        <v>3677</v>
      </c>
      <c r="H1316" s="8" t="s">
        <v>3678</v>
      </c>
      <c r="I1316" s="14">
        <v>45296</v>
      </c>
    </row>
    <row r="1317" spans="1:9" x14ac:dyDescent="0.15">
      <c r="A1317" s="5">
        <v>1316</v>
      </c>
      <c r="B1317" s="6" t="s">
        <v>9</v>
      </c>
      <c r="C1317" s="7">
        <v>1882</v>
      </c>
      <c r="D1317" s="8">
        <v>45388</v>
      </c>
      <c r="E1317" s="9" t="str">
        <f>+HYPERLINK("http://trademark.i-assist.jp/data/china/image_1882th/76208140.pdf","76208140")</f>
        <v>76208140</v>
      </c>
      <c r="F1317" s="6" t="s">
        <v>3679</v>
      </c>
      <c r="G1317" s="6" t="s">
        <v>3680</v>
      </c>
      <c r="H1317" s="8" t="s">
        <v>3681</v>
      </c>
      <c r="I1317" s="14">
        <v>45296</v>
      </c>
    </row>
    <row r="1318" spans="1:9" x14ac:dyDescent="0.15">
      <c r="A1318" s="5">
        <v>1317</v>
      </c>
      <c r="B1318" s="6" t="s">
        <v>9</v>
      </c>
      <c r="C1318" s="7">
        <v>1882</v>
      </c>
      <c r="D1318" s="8">
        <v>45388</v>
      </c>
      <c r="E1318" s="9" t="str">
        <f>+HYPERLINK("http://trademark.i-assist.jp/data/china/image_1882th/76208144.pdf","76208144")</f>
        <v>76208144</v>
      </c>
      <c r="F1318" s="6" t="s">
        <v>3682</v>
      </c>
      <c r="G1318" s="6" t="s">
        <v>3683</v>
      </c>
      <c r="H1318" s="8" t="s">
        <v>3684</v>
      </c>
      <c r="I1318" s="14">
        <v>45296</v>
      </c>
    </row>
    <row r="1319" spans="1:9" x14ac:dyDescent="0.15">
      <c r="A1319" s="5">
        <v>1318</v>
      </c>
      <c r="B1319" s="6" t="s">
        <v>9</v>
      </c>
      <c r="C1319" s="7">
        <v>1882</v>
      </c>
      <c r="D1319" s="8">
        <v>45388</v>
      </c>
      <c r="E1319" s="9" t="str">
        <f>+HYPERLINK("http://trademark.i-assist.jp/data/china/image_1882th/76208685.pdf","76208685")</f>
        <v>76208685</v>
      </c>
      <c r="F1319" s="6" t="s">
        <v>3685</v>
      </c>
      <c r="G1319" s="6" t="s">
        <v>3686</v>
      </c>
      <c r="H1319" s="8" t="s">
        <v>3687</v>
      </c>
      <c r="I1319" s="14">
        <v>45296</v>
      </c>
    </row>
    <row r="1320" spans="1:9" x14ac:dyDescent="0.15">
      <c r="A1320" s="5">
        <v>1319</v>
      </c>
      <c r="B1320" s="6" t="s">
        <v>9</v>
      </c>
      <c r="C1320" s="7">
        <v>1882</v>
      </c>
      <c r="D1320" s="8">
        <v>45388</v>
      </c>
      <c r="E1320" s="9" t="str">
        <f>+HYPERLINK("http://trademark.i-assist.jp/data/china/image_1882th/76208794.pdf","76208794")</f>
        <v>76208794</v>
      </c>
      <c r="F1320" s="6" t="s">
        <v>3688</v>
      </c>
      <c r="G1320" s="6" t="s">
        <v>3441</v>
      </c>
      <c r="H1320" s="8" t="s">
        <v>3689</v>
      </c>
      <c r="I1320" s="14">
        <v>45296</v>
      </c>
    </row>
    <row r="1321" spans="1:9" x14ac:dyDescent="0.15">
      <c r="A1321" s="5">
        <v>1320</v>
      </c>
      <c r="B1321" s="6" t="s">
        <v>9</v>
      </c>
      <c r="C1321" s="7">
        <v>1882</v>
      </c>
      <c r="D1321" s="8">
        <v>45388</v>
      </c>
      <c r="E1321" s="9" t="str">
        <f>+HYPERLINK("http://trademark.i-assist.jp/data/china/image_1882th/76208826.pdf","76208826")</f>
        <v>76208826</v>
      </c>
      <c r="F1321" s="6" t="s">
        <v>3690</v>
      </c>
      <c r="G1321" s="6" t="s">
        <v>3691</v>
      </c>
      <c r="H1321" s="8" t="s">
        <v>3692</v>
      </c>
      <c r="I1321" s="14">
        <v>45296</v>
      </c>
    </row>
    <row r="1322" spans="1:9" x14ac:dyDescent="0.15">
      <c r="A1322" s="5">
        <v>1321</v>
      </c>
      <c r="B1322" s="6" t="s">
        <v>9</v>
      </c>
      <c r="C1322" s="7">
        <v>1882</v>
      </c>
      <c r="D1322" s="8">
        <v>45388</v>
      </c>
      <c r="E1322" s="9" t="str">
        <f>+HYPERLINK("http://trademark.i-assist.jp/data/china/image_1882th/76208882.pdf","76208882")</f>
        <v>76208882</v>
      </c>
      <c r="F1322" s="6" t="s">
        <v>3693</v>
      </c>
      <c r="G1322" s="6" t="s">
        <v>3694</v>
      </c>
      <c r="H1322" s="8" t="s">
        <v>3695</v>
      </c>
      <c r="I1322" s="14">
        <v>45296</v>
      </c>
    </row>
    <row r="1323" spans="1:9" x14ac:dyDescent="0.15">
      <c r="A1323" s="5">
        <v>1322</v>
      </c>
      <c r="B1323" s="6" t="s">
        <v>9</v>
      </c>
      <c r="C1323" s="7">
        <v>1882</v>
      </c>
      <c r="D1323" s="8">
        <v>45388</v>
      </c>
      <c r="E1323" s="9" t="str">
        <f>+HYPERLINK("http://trademark.i-assist.jp/data/china/image_1882th/76208990.pdf","76208990")</f>
        <v>76208990</v>
      </c>
      <c r="F1323" s="6" t="s">
        <v>3696</v>
      </c>
      <c r="G1323" s="6" t="s">
        <v>3697</v>
      </c>
      <c r="H1323" s="8" t="s">
        <v>3698</v>
      </c>
      <c r="I1323" s="14">
        <v>45296</v>
      </c>
    </row>
    <row r="1324" spans="1:9" x14ac:dyDescent="0.15">
      <c r="A1324" s="5">
        <v>1323</v>
      </c>
      <c r="B1324" s="6" t="s">
        <v>9</v>
      </c>
      <c r="C1324" s="7">
        <v>1882</v>
      </c>
      <c r="D1324" s="8">
        <v>45388</v>
      </c>
      <c r="E1324" s="9" t="str">
        <f>+HYPERLINK("http://trademark.i-assist.jp/data/china/image_1882th/76208997.pdf","76208997")</f>
        <v>76208997</v>
      </c>
      <c r="F1324" s="6" t="s">
        <v>3699</v>
      </c>
      <c r="G1324" s="6" t="s">
        <v>3697</v>
      </c>
      <c r="H1324" s="8" t="s">
        <v>3700</v>
      </c>
      <c r="I1324" s="14">
        <v>45296</v>
      </c>
    </row>
    <row r="1325" spans="1:9" x14ac:dyDescent="0.15">
      <c r="A1325" s="5">
        <v>1324</v>
      </c>
      <c r="B1325" s="6" t="s">
        <v>9</v>
      </c>
      <c r="C1325" s="7">
        <v>1882</v>
      </c>
      <c r="D1325" s="8">
        <v>45388</v>
      </c>
      <c r="E1325" s="9" t="str">
        <f>+HYPERLINK("http://trademark.i-assist.jp/data/china/image_1882th/76209037.pdf","76209037")</f>
        <v>76209037</v>
      </c>
      <c r="F1325" s="6" t="s">
        <v>3701</v>
      </c>
      <c r="G1325" s="6" t="s">
        <v>3702</v>
      </c>
      <c r="H1325" s="8" t="s">
        <v>3703</v>
      </c>
      <c r="I1325" s="14">
        <v>45296</v>
      </c>
    </row>
    <row r="1326" spans="1:9" x14ac:dyDescent="0.15">
      <c r="A1326" s="5">
        <v>1325</v>
      </c>
      <c r="B1326" s="6" t="s">
        <v>9</v>
      </c>
      <c r="C1326" s="7">
        <v>1882</v>
      </c>
      <c r="D1326" s="8">
        <v>45388</v>
      </c>
      <c r="E1326" s="9" t="str">
        <f>+HYPERLINK("http://trademark.i-assist.jp/data/china/image_1882th/76209155.pdf","76209155")</f>
        <v>76209155</v>
      </c>
      <c r="F1326" s="6" t="s">
        <v>3704</v>
      </c>
      <c r="G1326" s="6" t="s">
        <v>3705</v>
      </c>
      <c r="H1326" s="8" t="s">
        <v>3706</v>
      </c>
      <c r="I1326" s="14">
        <v>45296</v>
      </c>
    </row>
    <row r="1327" spans="1:9" x14ac:dyDescent="0.15">
      <c r="A1327" s="5">
        <v>1326</v>
      </c>
      <c r="B1327" s="6" t="s">
        <v>9</v>
      </c>
      <c r="C1327" s="7">
        <v>1882</v>
      </c>
      <c r="D1327" s="8">
        <v>45388</v>
      </c>
      <c r="E1327" s="9" t="str">
        <f>+HYPERLINK("http://trademark.i-assist.jp/data/china/image_1882th/76209491.pdf","76209491")</f>
        <v>76209491</v>
      </c>
      <c r="F1327" s="6" t="s">
        <v>3707</v>
      </c>
      <c r="G1327" s="6" t="s">
        <v>3708</v>
      </c>
      <c r="H1327" s="8" t="s">
        <v>3709</v>
      </c>
      <c r="I1327" s="14">
        <v>45296</v>
      </c>
    </row>
    <row r="1328" spans="1:9" x14ac:dyDescent="0.15">
      <c r="A1328" s="5">
        <v>1327</v>
      </c>
      <c r="B1328" s="6" t="s">
        <v>9</v>
      </c>
      <c r="C1328" s="7">
        <v>1882</v>
      </c>
      <c r="D1328" s="8">
        <v>45388</v>
      </c>
      <c r="E1328" s="9" t="str">
        <f>+HYPERLINK("http://trademark.i-assist.jp/data/china/image_1882th/76209588.pdf","76209588")</f>
        <v>76209588</v>
      </c>
      <c r="F1328" s="6" t="s">
        <v>3710</v>
      </c>
      <c r="G1328" s="6" t="s">
        <v>3711</v>
      </c>
      <c r="H1328" s="8" t="s">
        <v>3712</v>
      </c>
      <c r="I1328" s="14">
        <v>45296</v>
      </c>
    </row>
    <row r="1329" spans="1:9" x14ac:dyDescent="0.15">
      <c r="A1329" s="5">
        <v>1328</v>
      </c>
      <c r="B1329" s="6" t="s">
        <v>9</v>
      </c>
      <c r="C1329" s="7">
        <v>1882</v>
      </c>
      <c r="D1329" s="8">
        <v>45388</v>
      </c>
      <c r="E1329" s="9" t="str">
        <f>+HYPERLINK("http://trademark.i-assist.jp/data/china/image_1882th/76209654.pdf","76209654")</f>
        <v>76209654</v>
      </c>
      <c r="F1329" s="6" t="s">
        <v>3713</v>
      </c>
      <c r="G1329" s="6" t="s">
        <v>3714</v>
      </c>
      <c r="H1329" s="8" t="s">
        <v>3715</v>
      </c>
      <c r="I1329" s="14">
        <v>45296</v>
      </c>
    </row>
    <row r="1330" spans="1:9" x14ac:dyDescent="0.15">
      <c r="A1330" s="5">
        <v>1329</v>
      </c>
      <c r="B1330" s="6" t="s">
        <v>9</v>
      </c>
      <c r="C1330" s="7">
        <v>1882</v>
      </c>
      <c r="D1330" s="8">
        <v>45388</v>
      </c>
      <c r="E1330" s="9" t="str">
        <f>+HYPERLINK("http://trademark.i-assist.jp/data/china/image_1882th/76209955.pdf","76209955")</f>
        <v>76209955</v>
      </c>
      <c r="F1330" s="6" t="s">
        <v>3716</v>
      </c>
      <c r="G1330" s="6" t="s">
        <v>3717</v>
      </c>
      <c r="H1330" s="8" t="s">
        <v>3718</v>
      </c>
      <c r="I1330" s="14">
        <v>45296</v>
      </c>
    </row>
    <row r="1331" spans="1:9" x14ac:dyDescent="0.15">
      <c r="A1331" s="5">
        <v>1330</v>
      </c>
      <c r="B1331" s="6" t="s">
        <v>9</v>
      </c>
      <c r="C1331" s="7">
        <v>1882</v>
      </c>
      <c r="D1331" s="8">
        <v>45388</v>
      </c>
      <c r="E1331" s="9" t="str">
        <f>+HYPERLINK("http://trademark.i-assist.jp/data/china/image_1882th/76210159.pdf","76210159")</f>
        <v>76210159</v>
      </c>
      <c r="F1331" s="6" t="s">
        <v>3719</v>
      </c>
      <c r="G1331" s="6" t="s">
        <v>284</v>
      </c>
      <c r="H1331" s="8" t="s">
        <v>3720</v>
      </c>
      <c r="I1331" s="14">
        <v>45296</v>
      </c>
    </row>
    <row r="1332" spans="1:9" x14ac:dyDescent="0.15">
      <c r="A1332" s="5">
        <v>1331</v>
      </c>
      <c r="B1332" s="6" t="s">
        <v>9</v>
      </c>
      <c r="C1332" s="7">
        <v>1882</v>
      </c>
      <c r="D1332" s="8">
        <v>45388</v>
      </c>
      <c r="E1332" s="9" t="str">
        <f>+HYPERLINK("http://trademark.i-assist.jp/data/china/image_1882th/76210297.pdf","76210297")</f>
        <v>76210297</v>
      </c>
      <c r="F1332" s="6" t="s">
        <v>3721</v>
      </c>
      <c r="G1332" s="6" t="s">
        <v>3722</v>
      </c>
      <c r="H1332" s="8" t="s">
        <v>3390</v>
      </c>
      <c r="I1332" s="14">
        <v>45296</v>
      </c>
    </row>
    <row r="1333" spans="1:9" x14ac:dyDescent="0.15">
      <c r="A1333" s="5">
        <v>1332</v>
      </c>
      <c r="B1333" s="6" t="s">
        <v>9</v>
      </c>
      <c r="C1333" s="7">
        <v>1882</v>
      </c>
      <c r="D1333" s="8">
        <v>45388</v>
      </c>
      <c r="E1333" s="9" t="str">
        <f>+HYPERLINK("http://trademark.i-assist.jp/data/china/image_1882th/76210374.pdf","76210374")</f>
        <v>76210374</v>
      </c>
      <c r="F1333" s="6" t="s">
        <v>3723</v>
      </c>
      <c r="G1333" s="6" t="s">
        <v>3724</v>
      </c>
      <c r="H1333" s="8" t="s">
        <v>3725</v>
      </c>
      <c r="I1333" s="14">
        <v>45296</v>
      </c>
    </row>
    <row r="1334" spans="1:9" x14ac:dyDescent="0.15">
      <c r="A1334" s="5">
        <v>1333</v>
      </c>
      <c r="B1334" s="6" t="s">
        <v>9</v>
      </c>
      <c r="C1334" s="7">
        <v>1882</v>
      </c>
      <c r="D1334" s="8">
        <v>45388</v>
      </c>
      <c r="E1334" s="9" t="str">
        <f>+HYPERLINK("http://trademark.i-assist.jp/data/china/image_1882th/76210768.pdf","76210768")</f>
        <v>76210768</v>
      </c>
      <c r="F1334" s="6" t="s">
        <v>3726</v>
      </c>
      <c r="G1334" s="6" t="s">
        <v>3727</v>
      </c>
      <c r="H1334" s="8" t="s">
        <v>3728</v>
      </c>
      <c r="I1334" s="14">
        <v>45296</v>
      </c>
    </row>
    <row r="1335" spans="1:9" x14ac:dyDescent="0.15">
      <c r="A1335" s="5">
        <v>1334</v>
      </c>
      <c r="B1335" s="6" t="s">
        <v>9</v>
      </c>
      <c r="C1335" s="7">
        <v>1882</v>
      </c>
      <c r="D1335" s="8">
        <v>45388</v>
      </c>
      <c r="E1335" s="9" t="str">
        <f>+HYPERLINK("http://trademark.i-assist.jp/data/china/image_1882th/76210851.pdf","76210851")</f>
        <v>76210851</v>
      </c>
      <c r="F1335" s="6" t="s">
        <v>3729</v>
      </c>
      <c r="G1335" s="6" t="s">
        <v>3730</v>
      </c>
      <c r="H1335" s="8" t="s">
        <v>3731</v>
      </c>
      <c r="I1335" s="14">
        <v>45296</v>
      </c>
    </row>
    <row r="1336" spans="1:9" x14ac:dyDescent="0.15">
      <c r="A1336" s="5">
        <v>1335</v>
      </c>
      <c r="B1336" s="6" t="s">
        <v>9</v>
      </c>
      <c r="C1336" s="7">
        <v>1882</v>
      </c>
      <c r="D1336" s="8">
        <v>45388</v>
      </c>
      <c r="E1336" s="9" t="str">
        <f>+HYPERLINK("http://trademark.i-assist.jp/data/china/image_1882th/76211052.pdf","76211052")</f>
        <v>76211052</v>
      </c>
      <c r="F1336" s="6" t="s">
        <v>3732</v>
      </c>
      <c r="G1336" s="6" t="s">
        <v>3733</v>
      </c>
      <c r="H1336" s="8" t="s">
        <v>3734</v>
      </c>
      <c r="I1336" s="14">
        <v>45296</v>
      </c>
    </row>
    <row r="1337" spans="1:9" x14ac:dyDescent="0.15">
      <c r="A1337" s="5">
        <v>1336</v>
      </c>
      <c r="B1337" s="6" t="s">
        <v>9</v>
      </c>
      <c r="C1337" s="7">
        <v>1882</v>
      </c>
      <c r="D1337" s="8">
        <v>45388</v>
      </c>
      <c r="E1337" s="9" t="str">
        <f>+HYPERLINK("http://trademark.i-assist.jp/data/china/image_1882th/76211315.pdf","76211315")</f>
        <v>76211315</v>
      </c>
      <c r="F1337" s="6" t="s">
        <v>3735</v>
      </c>
      <c r="G1337" s="6" t="s">
        <v>3605</v>
      </c>
      <c r="H1337" s="8" t="s">
        <v>3736</v>
      </c>
      <c r="I1337" s="14">
        <v>45296</v>
      </c>
    </row>
    <row r="1338" spans="1:9" x14ac:dyDescent="0.15">
      <c r="A1338" s="5">
        <v>1337</v>
      </c>
      <c r="B1338" s="6" t="s">
        <v>9</v>
      </c>
      <c r="C1338" s="7">
        <v>1882</v>
      </c>
      <c r="D1338" s="8">
        <v>45388</v>
      </c>
      <c r="E1338" s="9" t="str">
        <f>+HYPERLINK("http://trademark.i-assist.jp/data/china/image_1882th/76211789.pdf","76211789")</f>
        <v>76211789</v>
      </c>
      <c r="F1338" s="6" t="s">
        <v>3737</v>
      </c>
      <c r="G1338" s="6" t="s">
        <v>3738</v>
      </c>
      <c r="H1338" s="8" t="s">
        <v>3739</v>
      </c>
      <c r="I1338" s="14">
        <v>45296</v>
      </c>
    </row>
    <row r="1339" spans="1:9" x14ac:dyDescent="0.15">
      <c r="A1339" s="5">
        <v>1338</v>
      </c>
      <c r="B1339" s="6" t="s">
        <v>9</v>
      </c>
      <c r="C1339" s="7">
        <v>1882</v>
      </c>
      <c r="D1339" s="8">
        <v>45388</v>
      </c>
      <c r="E1339" s="9" t="str">
        <f>+HYPERLINK("http://trademark.i-assist.jp/data/china/image_1882th/76211837.pdf","76211837")</f>
        <v>76211837</v>
      </c>
      <c r="F1339" s="6" t="s">
        <v>3740</v>
      </c>
      <c r="G1339" s="6" t="s">
        <v>2496</v>
      </c>
      <c r="H1339" s="8" t="s">
        <v>3741</v>
      </c>
      <c r="I1339" s="14">
        <v>45296</v>
      </c>
    </row>
    <row r="1340" spans="1:9" x14ac:dyDescent="0.15">
      <c r="A1340" s="5">
        <v>1339</v>
      </c>
      <c r="B1340" s="6" t="s">
        <v>9</v>
      </c>
      <c r="C1340" s="7">
        <v>1882</v>
      </c>
      <c r="D1340" s="8">
        <v>45388</v>
      </c>
      <c r="E1340" s="9" t="str">
        <f>+HYPERLINK("http://trademark.i-assist.jp/data/china/image_1882th/76211875.pdf","76211875")</f>
        <v>76211875</v>
      </c>
      <c r="F1340" s="6" t="s">
        <v>3742</v>
      </c>
      <c r="G1340" s="6" t="s">
        <v>3743</v>
      </c>
      <c r="H1340" s="8" t="s">
        <v>3744</v>
      </c>
      <c r="I1340" s="14">
        <v>45296</v>
      </c>
    </row>
    <row r="1341" spans="1:9" x14ac:dyDescent="0.15">
      <c r="A1341" s="5">
        <v>1340</v>
      </c>
      <c r="B1341" s="6" t="s">
        <v>9</v>
      </c>
      <c r="C1341" s="7">
        <v>1882</v>
      </c>
      <c r="D1341" s="8">
        <v>45388</v>
      </c>
      <c r="E1341" s="9" t="str">
        <f>+HYPERLINK("http://trademark.i-assist.jp/data/china/image_1882th/76211940.pdf","76211940")</f>
        <v>76211940</v>
      </c>
      <c r="F1341" s="6" t="s">
        <v>3745</v>
      </c>
      <c r="G1341" s="6" t="s">
        <v>3671</v>
      </c>
      <c r="H1341" s="8" t="s">
        <v>3746</v>
      </c>
      <c r="I1341" s="14">
        <v>45296</v>
      </c>
    </row>
    <row r="1342" spans="1:9" x14ac:dyDescent="0.15">
      <c r="A1342" s="5">
        <v>1341</v>
      </c>
      <c r="B1342" s="6" t="s">
        <v>9</v>
      </c>
      <c r="C1342" s="7">
        <v>1882</v>
      </c>
      <c r="D1342" s="8">
        <v>45388</v>
      </c>
      <c r="E1342" s="9" t="str">
        <f>+HYPERLINK("http://trademark.i-assist.jp/data/china/image_1882th/76211988.pdf","76211988")</f>
        <v>76211988</v>
      </c>
      <c r="F1342" s="6" t="s">
        <v>3747</v>
      </c>
      <c r="G1342" s="6" t="s">
        <v>1979</v>
      </c>
      <c r="H1342" s="8" t="s">
        <v>3748</v>
      </c>
      <c r="I1342" s="14">
        <v>45296</v>
      </c>
    </row>
    <row r="1343" spans="1:9" x14ac:dyDescent="0.15">
      <c r="A1343" s="5">
        <v>1342</v>
      </c>
      <c r="B1343" s="6" t="s">
        <v>9</v>
      </c>
      <c r="C1343" s="7">
        <v>1882</v>
      </c>
      <c r="D1343" s="8">
        <v>45388</v>
      </c>
      <c r="E1343" s="9" t="str">
        <f>+HYPERLINK("http://trademark.i-assist.jp/data/china/image_1882th/76212023.pdf","76212023")</f>
        <v>76212023</v>
      </c>
      <c r="F1343" s="6" t="s">
        <v>3749</v>
      </c>
      <c r="G1343" s="6" t="s">
        <v>3750</v>
      </c>
      <c r="H1343" s="8" t="s">
        <v>3751</v>
      </c>
      <c r="I1343" s="14">
        <v>45296</v>
      </c>
    </row>
    <row r="1344" spans="1:9" x14ac:dyDescent="0.15">
      <c r="A1344" s="5">
        <v>1343</v>
      </c>
      <c r="B1344" s="6" t="s">
        <v>9</v>
      </c>
      <c r="C1344" s="7">
        <v>1882</v>
      </c>
      <c r="D1344" s="8">
        <v>45388</v>
      </c>
      <c r="E1344" s="9" t="str">
        <f>+HYPERLINK("http://trademark.i-assist.jp/data/china/image_1882th/76212059.pdf","76212059")</f>
        <v>76212059</v>
      </c>
      <c r="F1344" s="6" t="s">
        <v>3752</v>
      </c>
      <c r="G1344" s="6" t="s">
        <v>3753</v>
      </c>
      <c r="H1344" s="8" t="s">
        <v>3754</v>
      </c>
      <c r="I1344" s="14">
        <v>45296</v>
      </c>
    </row>
    <row r="1345" spans="1:9" x14ac:dyDescent="0.15">
      <c r="A1345" s="5">
        <v>1344</v>
      </c>
      <c r="B1345" s="6" t="s">
        <v>9</v>
      </c>
      <c r="C1345" s="7">
        <v>1882</v>
      </c>
      <c r="D1345" s="8">
        <v>45388</v>
      </c>
      <c r="E1345" s="9" t="str">
        <f>+HYPERLINK("http://trademark.i-assist.jp/data/china/image_1882th/76212188.pdf","76212188")</f>
        <v>76212188</v>
      </c>
      <c r="F1345" s="6" t="s">
        <v>3755</v>
      </c>
      <c r="G1345" s="6" t="s">
        <v>3756</v>
      </c>
      <c r="H1345" s="8" t="s">
        <v>3757</v>
      </c>
      <c r="I1345" s="14">
        <v>45296</v>
      </c>
    </row>
    <row r="1346" spans="1:9" x14ac:dyDescent="0.15">
      <c r="A1346" s="5">
        <v>1345</v>
      </c>
      <c r="B1346" s="6" t="s">
        <v>9</v>
      </c>
      <c r="C1346" s="7">
        <v>1882</v>
      </c>
      <c r="D1346" s="8">
        <v>45388</v>
      </c>
      <c r="E1346" s="9" t="str">
        <f>+HYPERLINK("http://trademark.i-assist.jp/data/china/image_1882th/76212205.pdf","76212205")</f>
        <v>76212205</v>
      </c>
      <c r="F1346" s="6" t="s">
        <v>3758</v>
      </c>
      <c r="G1346" s="6" t="s">
        <v>3759</v>
      </c>
      <c r="H1346" s="8" t="s">
        <v>3760</v>
      </c>
      <c r="I1346" s="14">
        <v>45296</v>
      </c>
    </row>
    <row r="1347" spans="1:9" x14ac:dyDescent="0.15">
      <c r="A1347" s="5">
        <v>1346</v>
      </c>
      <c r="B1347" s="6" t="s">
        <v>9</v>
      </c>
      <c r="C1347" s="7">
        <v>1882</v>
      </c>
      <c r="D1347" s="8">
        <v>45388</v>
      </c>
      <c r="E1347" s="9" t="str">
        <f>+HYPERLINK("http://trademark.i-assist.jp/data/china/image_1882th/76212214.pdf","76212214")</f>
        <v>76212214</v>
      </c>
      <c r="F1347" s="6" t="s">
        <v>3761</v>
      </c>
      <c r="G1347" s="6" t="s">
        <v>3762</v>
      </c>
      <c r="H1347" s="8" t="s">
        <v>3763</v>
      </c>
      <c r="I1347" s="14">
        <v>45296</v>
      </c>
    </row>
    <row r="1348" spans="1:9" x14ac:dyDescent="0.15">
      <c r="A1348" s="5">
        <v>1347</v>
      </c>
      <c r="B1348" s="6" t="s">
        <v>9</v>
      </c>
      <c r="C1348" s="7">
        <v>1882</v>
      </c>
      <c r="D1348" s="8">
        <v>45388</v>
      </c>
      <c r="E1348" s="9" t="str">
        <f>+HYPERLINK("http://trademark.i-assist.jp/data/china/image_1882th/76212497.pdf","76212497")</f>
        <v>76212497</v>
      </c>
      <c r="F1348" s="6" t="s">
        <v>3764</v>
      </c>
      <c r="G1348" s="6" t="s">
        <v>3765</v>
      </c>
      <c r="H1348" s="8" t="s">
        <v>3766</v>
      </c>
      <c r="I1348" s="14">
        <v>45296</v>
      </c>
    </row>
    <row r="1349" spans="1:9" x14ac:dyDescent="0.15">
      <c r="A1349" s="5">
        <v>1348</v>
      </c>
      <c r="B1349" s="6" t="s">
        <v>9</v>
      </c>
      <c r="C1349" s="7">
        <v>1882</v>
      </c>
      <c r="D1349" s="8">
        <v>45388</v>
      </c>
      <c r="E1349" s="9" t="str">
        <f>+HYPERLINK("http://trademark.i-assist.jp/data/china/image_1882th/76212514.pdf","76212514")</f>
        <v>76212514</v>
      </c>
      <c r="F1349" s="6" t="s">
        <v>3767</v>
      </c>
      <c r="G1349" s="6" t="s">
        <v>3768</v>
      </c>
      <c r="H1349" s="8" t="s">
        <v>3769</v>
      </c>
      <c r="I1349" s="14">
        <v>45296</v>
      </c>
    </row>
    <row r="1350" spans="1:9" x14ac:dyDescent="0.15">
      <c r="A1350" s="5">
        <v>1349</v>
      </c>
      <c r="B1350" s="6" t="s">
        <v>9</v>
      </c>
      <c r="C1350" s="7">
        <v>1882</v>
      </c>
      <c r="D1350" s="8">
        <v>45388</v>
      </c>
      <c r="E1350" s="9" t="str">
        <f>+HYPERLINK("http://trademark.i-assist.jp/data/china/image_1882th/76212556.pdf","76212556")</f>
        <v>76212556</v>
      </c>
      <c r="F1350" s="6" t="s">
        <v>3770</v>
      </c>
      <c r="G1350" s="6" t="s">
        <v>3771</v>
      </c>
      <c r="H1350" s="8" t="s">
        <v>3772</v>
      </c>
      <c r="I1350" s="14">
        <v>45296</v>
      </c>
    </row>
    <row r="1351" spans="1:9" x14ac:dyDescent="0.15">
      <c r="A1351" s="5">
        <v>1350</v>
      </c>
      <c r="B1351" s="6" t="s">
        <v>9</v>
      </c>
      <c r="C1351" s="7">
        <v>1882</v>
      </c>
      <c r="D1351" s="8">
        <v>45388</v>
      </c>
      <c r="E1351" s="9" t="str">
        <f>+HYPERLINK("http://trademark.i-assist.jp/data/china/image_1882th/76212588.pdf","76212588")</f>
        <v>76212588</v>
      </c>
      <c r="F1351" s="6" t="s">
        <v>3773</v>
      </c>
      <c r="G1351" s="6" t="s">
        <v>3774</v>
      </c>
      <c r="H1351" s="8" t="s">
        <v>3775</v>
      </c>
      <c r="I1351" s="14">
        <v>45296</v>
      </c>
    </row>
    <row r="1352" spans="1:9" x14ac:dyDescent="0.15">
      <c r="A1352" s="5">
        <v>1351</v>
      </c>
      <c r="B1352" s="6" t="s">
        <v>9</v>
      </c>
      <c r="C1352" s="7">
        <v>1882</v>
      </c>
      <c r="D1352" s="8">
        <v>45388</v>
      </c>
      <c r="E1352" s="9" t="str">
        <f>+HYPERLINK("http://trademark.i-assist.jp/data/china/image_1882th/76212633.pdf","76212633")</f>
        <v>76212633</v>
      </c>
      <c r="F1352" s="6" t="s">
        <v>3776</v>
      </c>
      <c r="G1352" s="6" t="s">
        <v>3777</v>
      </c>
      <c r="H1352" s="8" t="s">
        <v>3778</v>
      </c>
      <c r="I1352" s="14">
        <v>45296</v>
      </c>
    </row>
    <row r="1353" spans="1:9" x14ac:dyDescent="0.15">
      <c r="A1353" s="5">
        <v>1352</v>
      </c>
      <c r="B1353" s="6" t="s">
        <v>9</v>
      </c>
      <c r="C1353" s="7">
        <v>1882</v>
      </c>
      <c r="D1353" s="8">
        <v>45388</v>
      </c>
      <c r="E1353" s="9" t="str">
        <f>+HYPERLINK("http://trademark.i-assist.jp/data/china/image_1882th/76212804.pdf","76212804")</f>
        <v>76212804</v>
      </c>
      <c r="F1353" s="6" t="s">
        <v>3779</v>
      </c>
      <c r="G1353" s="6" t="s">
        <v>3780</v>
      </c>
      <c r="H1353" s="8" t="s">
        <v>3781</v>
      </c>
      <c r="I1353" s="14">
        <v>45296</v>
      </c>
    </row>
    <row r="1354" spans="1:9" x14ac:dyDescent="0.15">
      <c r="A1354" s="5">
        <v>1353</v>
      </c>
      <c r="B1354" s="6" t="s">
        <v>9</v>
      </c>
      <c r="C1354" s="7">
        <v>1882</v>
      </c>
      <c r="D1354" s="8">
        <v>45388</v>
      </c>
      <c r="E1354" s="9" t="str">
        <f>+HYPERLINK("http://trademark.i-assist.jp/data/china/image_1882th/76212950.pdf","76212950")</f>
        <v>76212950</v>
      </c>
      <c r="F1354" s="6" t="s">
        <v>3782</v>
      </c>
      <c r="G1354" s="6" t="s">
        <v>3783</v>
      </c>
      <c r="H1354" s="8" t="s">
        <v>3784</v>
      </c>
      <c r="I1354" s="14">
        <v>45296</v>
      </c>
    </row>
    <row r="1355" spans="1:9" x14ac:dyDescent="0.15">
      <c r="A1355" s="5">
        <v>1354</v>
      </c>
      <c r="B1355" s="6" t="s">
        <v>9</v>
      </c>
      <c r="C1355" s="7">
        <v>1882</v>
      </c>
      <c r="D1355" s="8">
        <v>45388</v>
      </c>
      <c r="E1355" s="9" t="str">
        <f>+HYPERLINK("http://trademark.i-assist.jp/data/china/image_1882th/76212961.pdf","76212961")</f>
        <v>76212961</v>
      </c>
      <c r="F1355" s="6" t="s">
        <v>3785</v>
      </c>
      <c r="G1355" s="6" t="s">
        <v>2814</v>
      </c>
      <c r="H1355" s="8" t="s">
        <v>3786</v>
      </c>
      <c r="I1355" s="14">
        <v>45296</v>
      </c>
    </row>
    <row r="1356" spans="1:9" x14ac:dyDescent="0.15">
      <c r="A1356" s="5">
        <v>1355</v>
      </c>
      <c r="B1356" s="6" t="s">
        <v>9</v>
      </c>
      <c r="C1356" s="7">
        <v>1882</v>
      </c>
      <c r="D1356" s="8">
        <v>45388</v>
      </c>
      <c r="E1356" s="9" t="str">
        <f>+HYPERLINK("http://trademark.i-assist.jp/data/china/image_1882th/76212982.pdf","76212982")</f>
        <v>76212982</v>
      </c>
      <c r="F1356" s="6" t="s">
        <v>3787</v>
      </c>
      <c r="G1356" s="6" t="s">
        <v>3788</v>
      </c>
      <c r="H1356" s="8" t="s">
        <v>3789</v>
      </c>
      <c r="I1356" s="14">
        <v>45296</v>
      </c>
    </row>
    <row r="1357" spans="1:9" x14ac:dyDescent="0.15">
      <c r="A1357" s="5">
        <v>1356</v>
      </c>
      <c r="B1357" s="6" t="s">
        <v>9</v>
      </c>
      <c r="C1357" s="7">
        <v>1882</v>
      </c>
      <c r="D1357" s="8">
        <v>45388</v>
      </c>
      <c r="E1357" s="9" t="str">
        <f>+HYPERLINK("http://trademark.i-assist.jp/data/china/image_1882th/76213047.pdf","76213047")</f>
        <v>76213047</v>
      </c>
      <c r="F1357" s="6" t="s">
        <v>3790</v>
      </c>
      <c r="G1357" s="6" t="s">
        <v>3677</v>
      </c>
      <c r="H1357" s="8" t="s">
        <v>3791</v>
      </c>
      <c r="I1357" s="14">
        <v>45296</v>
      </c>
    </row>
    <row r="1358" spans="1:9" x14ac:dyDescent="0.15">
      <c r="A1358" s="5">
        <v>1357</v>
      </c>
      <c r="B1358" s="6" t="s">
        <v>9</v>
      </c>
      <c r="C1358" s="7">
        <v>1882</v>
      </c>
      <c r="D1358" s="8">
        <v>45388</v>
      </c>
      <c r="E1358" s="9" t="str">
        <f>+HYPERLINK("http://trademark.i-assist.jp/data/china/image_1882th/76213301.pdf","76213301")</f>
        <v>76213301</v>
      </c>
      <c r="F1358" s="6" t="s">
        <v>3604</v>
      </c>
      <c r="G1358" s="6" t="s">
        <v>3605</v>
      </c>
      <c r="H1358" s="8" t="s">
        <v>3792</v>
      </c>
      <c r="I1358" s="14">
        <v>45296</v>
      </c>
    </row>
    <row r="1359" spans="1:9" x14ac:dyDescent="0.15">
      <c r="A1359" s="5">
        <v>1358</v>
      </c>
      <c r="B1359" s="6" t="s">
        <v>9</v>
      </c>
      <c r="C1359" s="7">
        <v>1882</v>
      </c>
      <c r="D1359" s="8">
        <v>45388</v>
      </c>
      <c r="E1359" s="9" t="str">
        <f>+HYPERLINK("http://trademark.i-assist.jp/data/china/image_1882th/76213359.pdf","76213359")</f>
        <v>76213359</v>
      </c>
      <c r="F1359" s="6" t="s">
        <v>3793</v>
      </c>
      <c r="G1359" s="6" t="s">
        <v>3794</v>
      </c>
      <c r="H1359" s="8" t="s">
        <v>3795</v>
      </c>
      <c r="I1359" s="14">
        <v>45296</v>
      </c>
    </row>
    <row r="1360" spans="1:9" x14ac:dyDescent="0.15">
      <c r="A1360" s="5">
        <v>1359</v>
      </c>
      <c r="B1360" s="6" t="s">
        <v>9</v>
      </c>
      <c r="C1360" s="7">
        <v>1882</v>
      </c>
      <c r="D1360" s="8">
        <v>45388</v>
      </c>
      <c r="E1360" s="9" t="str">
        <f>+HYPERLINK("http://trademark.i-assist.jp/data/china/image_1882th/76213366.pdf","76213366")</f>
        <v>76213366</v>
      </c>
      <c r="F1360" s="6" t="s">
        <v>3796</v>
      </c>
      <c r="G1360" s="6" t="s">
        <v>3797</v>
      </c>
      <c r="H1360" s="8" t="s">
        <v>3798</v>
      </c>
      <c r="I1360" s="14">
        <v>45296</v>
      </c>
    </row>
    <row r="1361" spans="1:9" x14ac:dyDescent="0.15">
      <c r="A1361" s="5">
        <v>1360</v>
      </c>
      <c r="B1361" s="6" t="s">
        <v>9</v>
      </c>
      <c r="C1361" s="7">
        <v>1882</v>
      </c>
      <c r="D1361" s="8">
        <v>45388</v>
      </c>
      <c r="E1361" s="9" t="str">
        <f>+HYPERLINK("http://trademark.i-assist.jp/data/china/image_1882th/76213409.pdf","76213409")</f>
        <v>76213409</v>
      </c>
      <c r="F1361" s="6" t="s">
        <v>3799</v>
      </c>
      <c r="G1361" s="6" t="s">
        <v>2095</v>
      </c>
      <c r="H1361" s="8" t="s">
        <v>3800</v>
      </c>
      <c r="I1361" s="14">
        <v>45296</v>
      </c>
    </row>
    <row r="1362" spans="1:9" x14ac:dyDescent="0.15">
      <c r="A1362" s="5">
        <v>1361</v>
      </c>
      <c r="B1362" s="6" t="s">
        <v>9</v>
      </c>
      <c r="C1362" s="7">
        <v>1882</v>
      </c>
      <c r="D1362" s="8">
        <v>45388</v>
      </c>
      <c r="E1362" s="9" t="str">
        <f>+HYPERLINK("http://trademark.i-assist.jp/data/china/image_1882th/76213488.pdf","76213488")</f>
        <v>76213488</v>
      </c>
      <c r="F1362" s="6" t="s">
        <v>3801</v>
      </c>
      <c r="G1362" s="6" t="s">
        <v>3802</v>
      </c>
      <c r="H1362" s="8" t="s">
        <v>3803</v>
      </c>
      <c r="I1362" s="14">
        <v>45296</v>
      </c>
    </row>
    <row r="1363" spans="1:9" x14ac:dyDescent="0.15">
      <c r="A1363" s="5">
        <v>1362</v>
      </c>
      <c r="B1363" s="6" t="s">
        <v>9</v>
      </c>
      <c r="C1363" s="7">
        <v>1882</v>
      </c>
      <c r="D1363" s="8">
        <v>45388</v>
      </c>
      <c r="E1363" s="9" t="str">
        <f>+HYPERLINK("http://trademark.i-assist.jp/data/china/image_1882th/76213674.pdf","76213674")</f>
        <v>76213674</v>
      </c>
      <c r="F1363" s="6" t="s">
        <v>3804</v>
      </c>
      <c r="G1363" s="6" t="s">
        <v>3805</v>
      </c>
      <c r="H1363" s="8" t="s">
        <v>3806</v>
      </c>
      <c r="I1363" s="14">
        <v>45296</v>
      </c>
    </row>
    <row r="1364" spans="1:9" x14ac:dyDescent="0.15">
      <c r="A1364" s="5">
        <v>1363</v>
      </c>
      <c r="B1364" s="6" t="s">
        <v>9</v>
      </c>
      <c r="C1364" s="7">
        <v>1882</v>
      </c>
      <c r="D1364" s="8">
        <v>45388</v>
      </c>
      <c r="E1364" s="9" t="str">
        <f>+HYPERLINK("http://trademark.i-assist.jp/data/china/image_1882th/76213707.pdf","76213707")</f>
        <v>76213707</v>
      </c>
      <c r="F1364" s="6" t="s">
        <v>3807</v>
      </c>
      <c r="G1364" s="6" t="s">
        <v>3808</v>
      </c>
      <c r="H1364" s="8" t="s">
        <v>3809</v>
      </c>
      <c r="I1364" s="14">
        <v>45296</v>
      </c>
    </row>
    <row r="1365" spans="1:9" x14ac:dyDescent="0.15">
      <c r="A1365" s="5">
        <v>1364</v>
      </c>
      <c r="B1365" s="6" t="s">
        <v>9</v>
      </c>
      <c r="C1365" s="7">
        <v>1882</v>
      </c>
      <c r="D1365" s="8">
        <v>45388</v>
      </c>
      <c r="E1365" s="9" t="str">
        <f>+HYPERLINK("http://trademark.i-assist.jp/data/china/image_1882th/76213745.pdf","76213745")</f>
        <v>76213745</v>
      </c>
      <c r="F1365" s="6" t="s">
        <v>3810</v>
      </c>
      <c r="G1365" s="6" t="s">
        <v>3811</v>
      </c>
      <c r="H1365" s="8" t="s">
        <v>3812</v>
      </c>
      <c r="I1365" s="14">
        <v>45296</v>
      </c>
    </row>
    <row r="1366" spans="1:9" x14ac:dyDescent="0.15">
      <c r="A1366" s="5">
        <v>1365</v>
      </c>
      <c r="B1366" s="6" t="s">
        <v>9</v>
      </c>
      <c r="C1366" s="7">
        <v>1882</v>
      </c>
      <c r="D1366" s="8">
        <v>45388</v>
      </c>
      <c r="E1366" s="9" t="str">
        <f>+HYPERLINK("http://trademark.i-assist.jp/data/china/image_1882th/76213828.pdf","76213828")</f>
        <v>76213828</v>
      </c>
      <c r="F1366" s="6" t="s">
        <v>3813</v>
      </c>
      <c r="G1366" s="6" t="s">
        <v>3814</v>
      </c>
      <c r="H1366" s="8" t="s">
        <v>3815</v>
      </c>
      <c r="I1366" s="14">
        <v>45296</v>
      </c>
    </row>
    <row r="1367" spans="1:9" x14ac:dyDescent="0.15">
      <c r="A1367" s="5">
        <v>1366</v>
      </c>
      <c r="B1367" s="6" t="s">
        <v>9</v>
      </c>
      <c r="C1367" s="7">
        <v>1882</v>
      </c>
      <c r="D1367" s="8">
        <v>45388</v>
      </c>
      <c r="E1367" s="9" t="str">
        <f>+HYPERLINK("http://trademark.i-assist.jp/data/china/image_1882th/76214296.pdf","76214296")</f>
        <v>76214296</v>
      </c>
      <c r="F1367" s="6" t="s">
        <v>3816</v>
      </c>
      <c r="G1367" s="6" t="s">
        <v>3817</v>
      </c>
      <c r="H1367" s="8" t="s">
        <v>3818</v>
      </c>
      <c r="I1367" s="14">
        <v>45296</v>
      </c>
    </row>
    <row r="1368" spans="1:9" x14ac:dyDescent="0.15">
      <c r="A1368" s="5">
        <v>1367</v>
      </c>
      <c r="B1368" s="6" t="s">
        <v>9</v>
      </c>
      <c r="C1368" s="7">
        <v>1882</v>
      </c>
      <c r="D1368" s="8">
        <v>45388</v>
      </c>
      <c r="E1368" s="9" t="str">
        <f>+HYPERLINK("http://trademark.i-assist.jp/data/china/image_1882th/76214357.pdf","76214357")</f>
        <v>76214357</v>
      </c>
      <c r="F1368" s="6" t="s">
        <v>3819</v>
      </c>
      <c r="G1368" s="6" t="s">
        <v>3820</v>
      </c>
      <c r="H1368" s="8" t="s">
        <v>3821</v>
      </c>
      <c r="I1368" s="14">
        <v>45296</v>
      </c>
    </row>
    <row r="1369" spans="1:9" x14ac:dyDescent="0.15">
      <c r="A1369" s="5">
        <v>1368</v>
      </c>
      <c r="B1369" s="6" t="s">
        <v>9</v>
      </c>
      <c r="C1369" s="7">
        <v>1882</v>
      </c>
      <c r="D1369" s="8">
        <v>45388</v>
      </c>
      <c r="E1369" s="9" t="str">
        <f>+HYPERLINK("http://trademark.i-assist.jp/data/china/image_1882th/76214572.pdf","76214572")</f>
        <v>76214572</v>
      </c>
      <c r="F1369" s="6" t="s">
        <v>3822</v>
      </c>
      <c r="G1369" s="6" t="s">
        <v>3625</v>
      </c>
      <c r="H1369" s="8" t="s">
        <v>3823</v>
      </c>
      <c r="I1369" s="14">
        <v>45296</v>
      </c>
    </row>
    <row r="1370" spans="1:9" x14ac:dyDescent="0.15">
      <c r="A1370" s="5">
        <v>1369</v>
      </c>
      <c r="B1370" s="6" t="s">
        <v>9</v>
      </c>
      <c r="C1370" s="7">
        <v>1882</v>
      </c>
      <c r="D1370" s="8">
        <v>45388</v>
      </c>
      <c r="E1370" s="9" t="str">
        <f>+HYPERLINK("http://trademark.i-assist.jp/data/china/image_1882th/76214838.pdf","76214838")</f>
        <v>76214838</v>
      </c>
      <c r="F1370" s="6" t="s">
        <v>3824</v>
      </c>
      <c r="G1370" s="6" t="s">
        <v>3825</v>
      </c>
      <c r="H1370" s="8" t="s">
        <v>3826</v>
      </c>
      <c r="I1370" s="14">
        <v>45296</v>
      </c>
    </row>
    <row r="1371" spans="1:9" x14ac:dyDescent="0.15">
      <c r="A1371" s="5">
        <v>1370</v>
      </c>
      <c r="B1371" s="6" t="s">
        <v>9</v>
      </c>
      <c r="C1371" s="7">
        <v>1882</v>
      </c>
      <c r="D1371" s="8">
        <v>45388</v>
      </c>
      <c r="E1371" s="9" t="str">
        <f>+HYPERLINK("http://trademark.i-assist.jp/data/china/image_1882th/76214911.pdf","76214911")</f>
        <v>76214911</v>
      </c>
      <c r="F1371" s="6" t="s">
        <v>3827</v>
      </c>
      <c r="G1371" s="6" t="s">
        <v>3828</v>
      </c>
      <c r="H1371" s="8" t="s">
        <v>3829</v>
      </c>
      <c r="I1371" s="14">
        <v>45296</v>
      </c>
    </row>
    <row r="1372" spans="1:9" x14ac:dyDescent="0.15">
      <c r="A1372" s="5">
        <v>1371</v>
      </c>
      <c r="B1372" s="6" t="s">
        <v>9</v>
      </c>
      <c r="C1372" s="7">
        <v>1882</v>
      </c>
      <c r="D1372" s="8">
        <v>45388</v>
      </c>
      <c r="E1372" s="9" t="str">
        <f>+HYPERLINK("http://trademark.i-assist.jp/data/china/image_1882th/76214943.pdf","76214943")</f>
        <v>76214943</v>
      </c>
      <c r="F1372" s="6" t="s">
        <v>3830</v>
      </c>
      <c r="G1372" s="6" t="s">
        <v>3831</v>
      </c>
      <c r="H1372" s="8" t="s">
        <v>3832</v>
      </c>
      <c r="I1372" s="14">
        <v>45296</v>
      </c>
    </row>
    <row r="1373" spans="1:9" x14ac:dyDescent="0.15">
      <c r="A1373" s="5">
        <v>1372</v>
      </c>
      <c r="B1373" s="6" t="s">
        <v>9</v>
      </c>
      <c r="C1373" s="7">
        <v>1882</v>
      </c>
      <c r="D1373" s="8">
        <v>45388</v>
      </c>
      <c r="E1373" s="9" t="str">
        <f>+HYPERLINK("http://trademark.i-assist.jp/data/china/image_1882th/76215092.pdf","76215092")</f>
        <v>76215092</v>
      </c>
      <c r="F1373" s="6" t="s">
        <v>3833</v>
      </c>
      <c r="G1373" s="6" t="s">
        <v>3834</v>
      </c>
      <c r="H1373" s="8" t="s">
        <v>3835</v>
      </c>
      <c r="I1373" s="14">
        <v>45296</v>
      </c>
    </row>
    <row r="1374" spans="1:9" x14ac:dyDescent="0.15">
      <c r="A1374" s="5">
        <v>1373</v>
      </c>
      <c r="B1374" s="6" t="s">
        <v>9</v>
      </c>
      <c r="C1374" s="7">
        <v>1882</v>
      </c>
      <c r="D1374" s="8">
        <v>45388</v>
      </c>
      <c r="E1374" s="9" t="str">
        <f>+HYPERLINK("http://trademark.i-assist.jp/data/china/image_1882th/76215146.pdf","76215146")</f>
        <v>76215146</v>
      </c>
      <c r="F1374" s="6" t="s">
        <v>3836</v>
      </c>
      <c r="G1374" s="6" t="s">
        <v>3837</v>
      </c>
      <c r="H1374" s="8" t="s">
        <v>3838</v>
      </c>
      <c r="I1374" s="14">
        <v>45296</v>
      </c>
    </row>
    <row r="1375" spans="1:9" x14ac:dyDescent="0.15">
      <c r="A1375" s="5">
        <v>1374</v>
      </c>
      <c r="B1375" s="6" t="s">
        <v>9</v>
      </c>
      <c r="C1375" s="7">
        <v>1882</v>
      </c>
      <c r="D1375" s="8">
        <v>45388</v>
      </c>
      <c r="E1375" s="9" t="str">
        <f>+HYPERLINK("http://trademark.i-assist.jp/data/china/image_1882th/76215363.pdf","76215363")</f>
        <v>76215363</v>
      </c>
      <c r="F1375" s="6" t="s">
        <v>3839</v>
      </c>
      <c r="G1375" s="6" t="s">
        <v>3697</v>
      </c>
      <c r="H1375" s="8" t="s">
        <v>3840</v>
      </c>
      <c r="I1375" s="14">
        <v>45296</v>
      </c>
    </row>
    <row r="1376" spans="1:9" x14ac:dyDescent="0.15">
      <c r="A1376" s="5">
        <v>1375</v>
      </c>
      <c r="B1376" s="6" t="s">
        <v>9</v>
      </c>
      <c r="C1376" s="7">
        <v>1882</v>
      </c>
      <c r="D1376" s="8">
        <v>45388</v>
      </c>
      <c r="E1376" s="9" t="str">
        <f>+HYPERLINK("http://trademark.i-assist.jp/data/china/image_1882th/76215413.pdf","76215413")</f>
        <v>76215413</v>
      </c>
      <c r="F1376" s="6" t="s">
        <v>3841</v>
      </c>
      <c r="G1376" s="6" t="s">
        <v>3636</v>
      </c>
      <c r="H1376" s="8" t="s">
        <v>3842</v>
      </c>
      <c r="I1376" s="14">
        <v>45296</v>
      </c>
    </row>
    <row r="1377" spans="1:9" x14ac:dyDescent="0.15">
      <c r="A1377" s="5">
        <v>1376</v>
      </c>
      <c r="B1377" s="6" t="s">
        <v>9</v>
      </c>
      <c r="C1377" s="7">
        <v>1882</v>
      </c>
      <c r="D1377" s="8">
        <v>45388</v>
      </c>
      <c r="E1377" s="9" t="str">
        <f>+HYPERLINK("http://trademark.i-assist.jp/data/china/image_1882th/76215424.pdf","76215424")</f>
        <v>76215424</v>
      </c>
      <c r="F1377" s="6" t="s">
        <v>3843</v>
      </c>
      <c r="G1377" s="6" t="s">
        <v>3844</v>
      </c>
      <c r="H1377" s="8" t="s">
        <v>3845</v>
      </c>
      <c r="I1377" s="14">
        <v>45296</v>
      </c>
    </row>
    <row r="1378" spans="1:9" x14ac:dyDescent="0.15">
      <c r="A1378" s="5">
        <v>1377</v>
      </c>
      <c r="B1378" s="6" t="s">
        <v>9</v>
      </c>
      <c r="C1378" s="7">
        <v>1882</v>
      </c>
      <c r="D1378" s="8">
        <v>45388</v>
      </c>
      <c r="E1378" s="9" t="str">
        <f>+HYPERLINK("http://trademark.i-assist.jp/data/china/image_1882th/76215435.pdf","76215435")</f>
        <v>76215435</v>
      </c>
      <c r="F1378" s="6" t="s">
        <v>3776</v>
      </c>
      <c r="G1378" s="6" t="s">
        <v>3777</v>
      </c>
      <c r="H1378" s="8" t="s">
        <v>3846</v>
      </c>
      <c r="I1378" s="14">
        <v>45296</v>
      </c>
    </row>
    <row r="1379" spans="1:9" x14ac:dyDescent="0.15">
      <c r="A1379" s="5">
        <v>1378</v>
      </c>
      <c r="B1379" s="6" t="s">
        <v>9</v>
      </c>
      <c r="C1379" s="7">
        <v>1882</v>
      </c>
      <c r="D1379" s="8">
        <v>45388</v>
      </c>
      <c r="E1379" s="9" t="str">
        <f>+HYPERLINK("http://trademark.i-assist.jp/data/china/image_1882th/76215480.pdf","76215480")</f>
        <v>76215480</v>
      </c>
      <c r="F1379" s="6" t="s">
        <v>3847</v>
      </c>
      <c r="G1379" s="6" t="s">
        <v>3848</v>
      </c>
      <c r="H1379" s="8" t="s">
        <v>3849</v>
      </c>
      <c r="I1379" s="14">
        <v>45296</v>
      </c>
    </row>
    <row r="1380" spans="1:9" x14ac:dyDescent="0.15">
      <c r="A1380" s="5">
        <v>1379</v>
      </c>
      <c r="B1380" s="6" t="s">
        <v>9</v>
      </c>
      <c r="C1380" s="7">
        <v>1882</v>
      </c>
      <c r="D1380" s="8">
        <v>45388</v>
      </c>
      <c r="E1380" s="9" t="str">
        <f>+HYPERLINK("http://trademark.i-assist.jp/data/china/image_1882th/76215487.pdf","76215487")</f>
        <v>76215487</v>
      </c>
      <c r="F1380" s="6" t="s">
        <v>3850</v>
      </c>
      <c r="G1380" s="6" t="s">
        <v>3851</v>
      </c>
      <c r="H1380" s="8" t="s">
        <v>3852</v>
      </c>
      <c r="I1380" s="14">
        <v>45296</v>
      </c>
    </row>
    <row r="1381" spans="1:9" x14ac:dyDescent="0.15">
      <c r="A1381" s="5">
        <v>1380</v>
      </c>
      <c r="B1381" s="6" t="s">
        <v>9</v>
      </c>
      <c r="C1381" s="7">
        <v>1882</v>
      </c>
      <c r="D1381" s="8">
        <v>45388</v>
      </c>
      <c r="E1381" s="9" t="str">
        <f>+HYPERLINK("http://trademark.i-assist.jp/data/china/image_1882th/76215789.pdf","76215789")</f>
        <v>76215789</v>
      </c>
      <c r="F1381" s="6" t="s">
        <v>3853</v>
      </c>
      <c r="G1381" s="6" t="s">
        <v>3854</v>
      </c>
      <c r="H1381" s="8" t="s">
        <v>3855</v>
      </c>
      <c r="I1381" s="14">
        <v>45296</v>
      </c>
    </row>
    <row r="1382" spans="1:9" x14ac:dyDescent="0.15">
      <c r="A1382" s="5">
        <v>1381</v>
      </c>
      <c r="B1382" s="6" t="s">
        <v>9</v>
      </c>
      <c r="C1382" s="7">
        <v>1882</v>
      </c>
      <c r="D1382" s="8">
        <v>45388</v>
      </c>
      <c r="E1382" s="9" t="str">
        <f>+HYPERLINK("http://trademark.i-assist.jp/data/china/image_1882th/76215823.pdf","76215823")</f>
        <v>76215823</v>
      </c>
      <c r="F1382" s="6" t="s">
        <v>3856</v>
      </c>
      <c r="G1382" s="6" t="s">
        <v>3857</v>
      </c>
      <c r="H1382" s="8" t="s">
        <v>3858</v>
      </c>
      <c r="I1382" s="14">
        <v>45296</v>
      </c>
    </row>
    <row r="1383" spans="1:9" x14ac:dyDescent="0.15">
      <c r="A1383" s="5">
        <v>1382</v>
      </c>
      <c r="B1383" s="6" t="s">
        <v>9</v>
      </c>
      <c r="C1383" s="7">
        <v>1882</v>
      </c>
      <c r="D1383" s="8">
        <v>45388</v>
      </c>
      <c r="E1383" s="9" t="str">
        <f>+HYPERLINK("http://trademark.i-assist.jp/data/china/image_1882th/76215979.pdf","76215979")</f>
        <v>76215979</v>
      </c>
      <c r="F1383" s="6" t="s">
        <v>3859</v>
      </c>
      <c r="G1383" s="6" t="s">
        <v>284</v>
      </c>
      <c r="H1383" s="8" t="s">
        <v>3860</v>
      </c>
      <c r="I1383" s="14">
        <v>45296</v>
      </c>
    </row>
    <row r="1384" spans="1:9" x14ac:dyDescent="0.15">
      <c r="A1384" s="5">
        <v>1383</v>
      </c>
      <c r="B1384" s="6" t="s">
        <v>9</v>
      </c>
      <c r="C1384" s="7">
        <v>1882</v>
      </c>
      <c r="D1384" s="8">
        <v>45388</v>
      </c>
      <c r="E1384" s="9" t="str">
        <f>+HYPERLINK("http://trademark.i-assist.jp/data/china/image_1882th/76216055.pdf","76216055")</f>
        <v>76216055</v>
      </c>
      <c r="F1384" s="6" t="s">
        <v>3861</v>
      </c>
      <c r="G1384" s="6" t="s">
        <v>3862</v>
      </c>
      <c r="H1384" s="8" t="s">
        <v>3863</v>
      </c>
      <c r="I1384" s="14">
        <v>45296</v>
      </c>
    </row>
    <row r="1385" spans="1:9" x14ac:dyDescent="0.15">
      <c r="A1385" s="5">
        <v>1384</v>
      </c>
      <c r="B1385" s="6" t="s">
        <v>9</v>
      </c>
      <c r="C1385" s="7">
        <v>1882</v>
      </c>
      <c r="D1385" s="8">
        <v>45388</v>
      </c>
      <c r="E1385" s="9" t="str">
        <f>+HYPERLINK("http://trademark.i-assist.jp/data/china/image_1882th/76216122.pdf","76216122")</f>
        <v>76216122</v>
      </c>
      <c r="F1385" s="6" t="s">
        <v>3864</v>
      </c>
      <c r="G1385" s="6" t="s">
        <v>3865</v>
      </c>
      <c r="H1385" s="8" t="s">
        <v>3866</v>
      </c>
      <c r="I1385" s="14">
        <v>45296</v>
      </c>
    </row>
    <row r="1386" spans="1:9" x14ac:dyDescent="0.15">
      <c r="A1386" s="5">
        <v>1385</v>
      </c>
      <c r="B1386" s="6" t="s">
        <v>9</v>
      </c>
      <c r="C1386" s="7">
        <v>1882</v>
      </c>
      <c r="D1386" s="8">
        <v>45388</v>
      </c>
      <c r="E1386" s="9" t="str">
        <f>+HYPERLINK("http://trademark.i-assist.jp/data/china/image_1882th/76216270.pdf","76216270")</f>
        <v>76216270</v>
      </c>
      <c r="F1386" s="6" t="s">
        <v>3867</v>
      </c>
      <c r="G1386" s="6" t="s">
        <v>3868</v>
      </c>
      <c r="H1386" s="8" t="s">
        <v>3869</v>
      </c>
      <c r="I1386" s="14">
        <v>45296</v>
      </c>
    </row>
    <row r="1387" spans="1:9" x14ac:dyDescent="0.15">
      <c r="A1387" s="5">
        <v>1386</v>
      </c>
      <c r="B1387" s="6" t="s">
        <v>9</v>
      </c>
      <c r="C1387" s="7">
        <v>1882</v>
      </c>
      <c r="D1387" s="8">
        <v>45388</v>
      </c>
      <c r="E1387" s="9" t="str">
        <f>+HYPERLINK("http://trademark.i-assist.jp/data/china/image_1882th/76216271.pdf","76216271")</f>
        <v>76216271</v>
      </c>
      <c r="F1387" s="6" t="s">
        <v>3870</v>
      </c>
      <c r="G1387" s="6" t="s">
        <v>3871</v>
      </c>
      <c r="H1387" s="8" t="s">
        <v>3872</v>
      </c>
      <c r="I1387" s="14">
        <v>45296</v>
      </c>
    </row>
    <row r="1388" spans="1:9" x14ac:dyDescent="0.15">
      <c r="A1388" s="5">
        <v>1387</v>
      </c>
      <c r="B1388" s="6" t="s">
        <v>9</v>
      </c>
      <c r="C1388" s="7">
        <v>1882</v>
      </c>
      <c r="D1388" s="8">
        <v>45388</v>
      </c>
      <c r="E1388" s="9" t="str">
        <f>+HYPERLINK("http://trademark.i-assist.jp/data/china/image_1882th/76216301.pdf","76216301")</f>
        <v>76216301</v>
      </c>
      <c r="F1388" s="6" t="s">
        <v>3873</v>
      </c>
      <c r="G1388" s="6" t="s">
        <v>3874</v>
      </c>
      <c r="H1388" s="8" t="s">
        <v>3875</v>
      </c>
      <c r="I1388" s="14">
        <v>45296</v>
      </c>
    </row>
    <row r="1389" spans="1:9" x14ac:dyDescent="0.15">
      <c r="A1389" s="5">
        <v>1388</v>
      </c>
      <c r="B1389" s="6" t="s">
        <v>9</v>
      </c>
      <c r="C1389" s="7">
        <v>1882</v>
      </c>
      <c r="D1389" s="8">
        <v>45388</v>
      </c>
      <c r="E1389" s="9" t="str">
        <f>+HYPERLINK("http://trademark.i-assist.jp/data/china/image_1882th/76216570.pdf","76216570")</f>
        <v>76216570</v>
      </c>
      <c r="F1389" s="6" t="s">
        <v>3876</v>
      </c>
      <c r="G1389" s="6" t="s">
        <v>3877</v>
      </c>
      <c r="H1389" s="8" t="s">
        <v>3878</v>
      </c>
      <c r="I1389" s="14">
        <v>45296</v>
      </c>
    </row>
    <row r="1390" spans="1:9" x14ac:dyDescent="0.15">
      <c r="A1390" s="5">
        <v>1389</v>
      </c>
      <c r="B1390" s="6" t="s">
        <v>9</v>
      </c>
      <c r="C1390" s="7">
        <v>1882</v>
      </c>
      <c r="D1390" s="8">
        <v>45388</v>
      </c>
      <c r="E1390" s="9" t="str">
        <f>+HYPERLINK("http://trademark.i-assist.jp/data/china/image_1882th/76216839.pdf","76216839")</f>
        <v>76216839</v>
      </c>
      <c r="F1390" s="6" t="s">
        <v>3879</v>
      </c>
      <c r="G1390" s="6" t="s">
        <v>3880</v>
      </c>
      <c r="H1390" s="8" t="s">
        <v>3881</v>
      </c>
      <c r="I1390" s="14">
        <v>45296</v>
      </c>
    </row>
    <row r="1391" spans="1:9" x14ac:dyDescent="0.15">
      <c r="A1391" s="5">
        <v>1390</v>
      </c>
      <c r="B1391" s="6" t="s">
        <v>9</v>
      </c>
      <c r="C1391" s="7">
        <v>1882</v>
      </c>
      <c r="D1391" s="8">
        <v>45388</v>
      </c>
      <c r="E1391" s="9" t="str">
        <f>+HYPERLINK("http://trademark.i-assist.jp/data/china/image_1882th/76216884.pdf","76216884")</f>
        <v>76216884</v>
      </c>
      <c r="F1391" s="6" t="s">
        <v>3882</v>
      </c>
      <c r="G1391" s="6" t="s">
        <v>3883</v>
      </c>
      <c r="H1391" s="8" t="s">
        <v>3884</v>
      </c>
      <c r="I1391" s="14">
        <v>45296</v>
      </c>
    </row>
    <row r="1392" spans="1:9" x14ac:dyDescent="0.15">
      <c r="A1392" s="5">
        <v>1391</v>
      </c>
      <c r="B1392" s="6" t="s">
        <v>9</v>
      </c>
      <c r="C1392" s="7">
        <v>1882</v>
      </c>
      <c r="D1392" s="8">
        <v>45388</v>
      </c>
      <c r="E1392" s="9" t="str">
        <f>+HYPERLINK("http://trademark.i-assist.jp/data/china/image_1882th/76216983.pdf","76216983")</f>
        <v>76216983</v>
      </c>
      <c r="F1392" s="6" t="s">
        <v>3885</v>
      </c>
      <c r="G1392" s="6" t="s">
        <v>3886</v>
      </c>
      <c r="H1392" s="8" t="s">
        <v>3887</v>
      </c>
      <c r="I1392" s="14">
        <v>45296</v>
      </c>
    </row>
    <row r="1393" spans="1:9" x14ac:dyDescent="0.15">
      <c r="A1393" s="5">
        <v>1392</v>
      </c>
      <c r="B1393" s="6" t="s">
        <v>9</v>
      </c>
      <c r="C1393" s="7">
        <v>1882</v>
      </c>
      <c r="D1393" s="8">
        <v>45388</v>
      </c>
      <c r="E1393" s="9" t="str">
        <f>+HYPERLINK("http://trademark.i-assist.jp/data/china/image_1882th/76217025.pdf","76217025")</f>
        <v>76217025</v>
      </c>
      <c r="F1393" s="6" t="s">
        <v>3888</v>
      </c>
      <c r="G1393" s="6" t="s">
        <v>3889</v>
      </c>
      <c r="H1393" s="8" t="s">
        <v>3890</v>
      </c>
      <c r="I1393" s="14">
        <v>45296</v>
      </c>
    </row>
    <row r="1394" spans="1:9" x14ac:dyDescent="0.15">
      <c r="A1394" s="5">
        <v>1393</v>
      </c>
      <c r="B1394" s="6" t="s">
        <v>9</v>
      </c>
      <c r="C1394" s="7">
        <v>1882</v>
      </c>
      <c r="D1394" s="8">
        <v>45388</v>
      </c>
      <c r="E1394" s="9" t="str">
        <f>+HYPERLINK("http://trademark.i-assist.jp/data/china/image_1882th/76217095.pdf","76217095")</f>
        <v>76217095</v>
      </c>
      <c r="F1394" s="6" t="s">
        <v>3891</v>
      </c>
      <c r="G1394" s="6" t="s">
        <v>3892</v>
      </c>
      <c r="H1394" s="8" t="s">
        <v>3893</v>
      </c>
      <c r="I1394" s="14">
        <v>45296</v>
      </c>
    </row>
    <row r="1395" spans="1:9" x14ac:dyDescent="0.15">
      <c r="A1395" s="5">
        <v>1394</v>
      </c>
      <c r="B1395" s="6" t="s">
        <v>9</v>
      </c>
      <c r="C1395" s="7">
        <v>1882</v>
      </c>
      <c r="D1395" s="8">
        <v>45388</v>
      </c>
      <c r="E1395" s="9" t="str">
        <f>+HYPERLINK("http://trademark.i-assist.jp/data/china/image_1882th/76217097.pdf","76217097")</f>
        <v>76217097</v>
      </c>
      <c r="F1395" s="6" t="s">
        <v>26</v>
      </c>
      <c r="G1395" s="6" t="s">
        <v>3894</v>
      </c>
      <c r="H1395" s="8" t="s">
        <v>3895</v>
      </c>
      <c r="I1395" s="14">
        <v>45296</v>
      </c>
    </row>
    <row r="1396" spans="1:9" x14ac:dyDescent="0.15">
      <c r="A1396" s="5">
        <v>1395</v>
      </c>
      <c r="B1396" s="6" t="s">
        <v>9</v>
      </c>
      <c r="C1396" s="7">
        <v>1882</v>
      </c>
      <c r="D1396" s="8">
        <v>45388</v>
      </c>
      <c r="E1396" s="9" t="str">
        <f>+HYPERLINK("http://trademark.i-assist.jp/data/china/image_1882th/76217103.pdf","76217103")</f>
        <v>76217103</v>
      </c>
      <c r="F1396" s="6" t="s">
        <v>3896</v>
      </c>
      <c r="G1396" s="6" t="s">
        <v>3897</v>
      </c>
      <c r="H1396" s="8" t="s">
        <v>3898</v>
      </c>
      <c r="I1396" s="14">
        <v>45296</v>
      </c>
    </row>
    <row r="1397" spans="1:9" x14ac:dyDescent="0.15">
      <c r="A1397" s="5">
        <v>1396</v>
      </c>
      <c r="B1397" s="6" t="s">
        <v>9</v>
      </c>
      <c r="C1397" s="7">
        <v>1882</v>
      </c>
      <c r="D1397" s="8">
        <v>45388</v>
      </c>
      <c r="E1397" s="9" t="str">
        <f>+HYPERLINK("http://trademark.i-assist.jp/data/china/image_1882th/76217238.pdf","76217238")</f>
        <v>76217238</v>
      </c>
      <c r="F1397" s="6" t="s">
        <v>3899</v>
      </c>
      <c r="G1397" s="6" t="s">
        <v>3900</v>
      </c>
      <c r="H1397" s="8" t="s">
        <v>3901</v>
      </c>
      <c r="I1397" s="14">
        <v>45296</v>
      </c>
    </row>
    <row r="1398" spans="1:9" x14ac:dyDescent="0.15">
      <c r="A1398" s="5">
        <v>1397</v>
      </c>
      <c r="B1398" s="6" t="s">
        <v>9</v>
      </c>
      <c r="C1398" s="7">
        <v>1882</v>
      </c>
      <c r="D1398" s="8">
        <v>45388</v>
      </c>
      <c r="E1398" s="9" t="str">
        <f>+HYPERLINK("http://trademark.i-assist.jp/data/china/image_1882th/76217291.pdf","76217291")</f>
        <v>76217291</v>
      </c>
      <c r="F1398" s="6" t="s">
        <v>3902</v>
      </c>
      <c r="G1398" s="6" t="s">
        <v>3903</v>
      </c>
      <c r="H1398" s="8" t="s">
        <v>3904</v>
      </c>
      <c r="I1398" s="14">
        <v>45296</v>
      </c>
    </row>
    <row r="1399" spans="1:9" x14ac:dyDescent="0.15">
      <c r="A1399" s="5">
        <v>1398</v>
      </c>
      <c r="B1399" s="6" t="s">
        <v>9</v>
      </c>
      <c r="C1399" s="7">
        <v>1882</v>
      </c>
      <c r="D1399" s="8">
        <v>45388</v>
      </c>
      <c r="E1399" s="9" t="str">
        <f>+HYPERLINK("http://trademark.i-assist.jp/data/china/image_1882th/76217314.pdf","76217314")</f>
        <v>76217314</v>
      </c>
      <c r="F1399" s="6" t="s">
        <v>3905</v>
      </c>
      <c r="G1399" s="6" t="s">
        <v>3906</v>
      </c>
      <c r="H1399" s="8" t="s">
        <v>3907</v>
      </c>
      <c r="I1399" s="14">
        <v>45296</v>
      </c>
    </row>
    <row r="1400" spans="1:9" x14ac:dyDescent="0.15">
      <c r="A1400" s="5">
        <v>1399</v>
      </c>
      <c r="B1400" s="6" t="s">
        <v>9</v>
      </c>
      <c r="C1400" s="7">
        <v>1882</v>
      </c>
      <c r="D1400" s="8">
        <v>45388</v>
      </c>
      <c r="E1400" s="9" t="str">
        <f>+HYPERLINK("http://trademark.i-assist.jp/data/china/image_1882th/76217319.pdf","76217319")</f>
        <v>76217319</v>
      </c>
      <c r="F1400" s="6" t="s">
        <v>3908</v>
      </c>
      <c r="G1400" s="6" t="s">
        <v>3909</v>
      </c>
      <c r="H1400" s="8" t="s">
        <v>3910</v>
      </c>
      <c r="I1400" s="14">
        <v>45296</v>
      </c>
    </row>
    <row r="1401" spans="1:9" x14ac:dyDescent="0.15">
      <c r="A1401" s="5">
        <v>1400</v>
      </c>
      <c r="B1401" s="6" t="s">
        <v>9</v>
      </c>
      <c r="C1401" s="7">
        <v>1882</v>
      </c>
      <c r="D1401" s="8">
        <v>45388</v>
      </c>
      <c r="E1401" s="9" t="str">
        <f>+HYPERLINK("http://trademark.i-assist.jp/data/china/image_1882th/76218256.pdf","76218256")</f>
        <v>76218256</v>
      </c>
      <c r="F1401" s="6" t="s">
        <v>3911</v>
      </c>
      <c r="G1401" s="6" t="s">
        <v>3912</v>
      </c>
      <c r="H1401" s="8" t="s">
        <v>3913</v>
      </c>
      <c r="I1401" s="14">
        <v>45296</v>
      </c>
    </row>
    <row r="1402" spans="1:9" x14ac:dyDescent="0.15">
      <c r="A1402" s="5">
        <v>1401</v>
      </c>
      <c r="B1402" s="6" t="s">
        <v>9</v>
      </c>
      <c r="C1402" s="7">
        <v>1882</v>
      </c>
      <c r="D1402" s="8">
        <v>45388</v>
      </c>
      <c r="E1402" s="9" t="str">
        <f>+HYPERLINK("http://trademark.i-assist.jp/data/china/image_1882th/76218480.pdf","76218480")</f>
        <v>76218480</v>
      </c>
      <c r="F1402" s="6" t="s">
        <v>3914</v>
      </c>
      <c r="G1402" s="6" t="s">
        <v>3915</v>
      </c>
      <c r="H1402" s="8" t="s">
        <v>3916</v>
      </c>
      <c r="I1402" s="14">
        <v>45296</v>
      </c>
    </row>
    <row r="1403" spans="1:9" x14ac:dyDescent="0.15">
      <c r="A1403" s="5">
        <v>1402</v>
      </c>
      <c r="B1403" s="6" t="s">
        <v>9</v>
      </c>
      <c r="C1403" s="7">
        <v>1882</v>
      </c>
      <c r="D1403" s="8">
        <v>45388</v>
      </c>
      <c r="E1403" s="9" t="str">
        <f>+HYPERLINK("http://trademark.i-assist.jp/data/china/image_1882th/76218573.pdf","76218573")</f>
        <v>76218573</v>
      </c>
      <c r="F1403" s="6" t="s">
        <v>3917</v>
      </c>
      <c r="G1403" s="6" t="s">
        <v>3918</v>
      </c>
      <c r="H1403" s="8" t="s">
        <v>3919</v>
      </c>
      <c r="I1403" s="14">
        <v>45296</v>
      </c>
    </row>
    <row r="1404" spans="1:9" x14ac:dyDescent="0.15">
      <c r="A1404" s="5">
        <v>1403</v>
      </c>
      <c r="B1404" s="6" t="s">
        <v>9</v>
      </c>
      <c r="C1404" s="7">
        <v>1882</v>
      </c>
      <c r="D1404" s="8">
        <v>45388</v>
      </c>
      <c r="E1404" s="9" t="str">
        <f>+HYPERLINK("http://trademark.i-assist.jp/data/china/image_1882th/76218631.pdf","76218631")</f>
        <v>76218631</v>
      </c>
      <c r="F1404" s="6" t="s">
        <v>3920</v>
      </c>
      <c r="G1404" s="6" t="s">
        <v>3605</v>
      </c>
      <c r="H1404" s="8" t="s">
        <v>3921</v>
      </c>
      <c r="I1404" s="14">
        <v>45296</v>
      </c>
    </row>
    <row r="1405" spans="1:9" x14ac:dyDescent="0.15">
      <c r="A1405" s="5">
        <v>1404</v>
      </c>
      <c r="B1405" s="6" t="s">
        <v>9</v>
      </c>
      <c r="C1405" s="7">
        <v>1882</v>
      </c>
      <c r="D1405" s="8">
        <v>45388</v>
      </c>
      <c r="E1405" s="9" t="str">
        <f>+HYPERLINK("http://trademark.i-assist.jp/data/china/image_1882th/76219012.pdf","76219012")</f>
        <v>76219012</v>
      </c>
      <c r="F1405" s="6" t="s">
        <v>3922</v>
      </c>
      <c r="G1405" s="6" t="s">
        <v>3923</v>
      </c>
      <c r="H1405" s="8" t="s">
        <v>3924</v>
      </c>
      <c r="I1405" s="14">
        <v>45296</v>
      </c>
    </row>
    <row r="1406" spans="1:9" x14ac:dyDescent="0.15">
      <c r="A1406" s="5">
        <v>1405</v>
      </c>
      <c r="B1406" s="6" t="s">
        <v>9</v>
      </c>
      <c r="C1406" s="7">
        <v>1882</v>
      </c>
      <c r="D1406" s="8">
        <v>45388</v>
      </c>
      <c r="E1406" s="9" t="str">
        <f>+HYPERLINK("http://trademark.i-assist.jp/data/china/image_1882th/76219042.pdf","76219042")</f>
        <v>76219042</v>
      </c>
      <c r="F1406" s="6" t="s">
        <v>3925</v>
      </c>
      <c r="G1406" s="6" t="s">
        <v>3926</v>
      </c>
      <c r="H1406" s="8" t="s">
        <v>3927</v>
      </c>
      <c r="I1406" s="14">
        <v>45296</v>
      </c>
    </row>
    <row r="1407" spans="1:9" x14ac:dyDescent="0.15">
      <c r="A1407" s="5">
        <v>1406</v>
      </c>
      <c r="B1407" s="6" t="s">
        <v>9</v>
      </c>
      <c r="C1407" s="7">
        <v>1882</v>
      </c>
      <c r="D1407" s="8">
        <v>45388</v>
      </c>
      <c r="E1407" s="9" t="str">
        <f>+HYPERLINK("http://trademark.i-assist.jp/data/china/image_1882th/76219078.pdf","76219078")</f>
        <v>76219078</v>
      </c>
      <c r="F1407" s="6" t="s">
        <v>3928</v>
      </c>
      <c r="G1407" s="6" t="s">
        <v>3929</v>
      </c>
      <c r="H1407" s="8" t="s">
        <v>3930</v>
      </c>
      <c r="I1407" s="14">
        <v>45296</v>
      </c>
    </row>
    <row r="1408" spans="1:9" x14ac:dyDescent="0.15">
      <c r="A1408" s="5">
        <v>1407</v>
      </c>
      <c r="B1408" s="6" t="s">
        <v>9</v>
      </c>
      <c r="C1408" s="7">
        <v>1882</v>
      </c>
      <c r="D1408" s="8">
        <v>45388</v>
      </c>
      <c r="E1408" s="9" t="str">
        <f>+HYPERLINK("http://trademark.i-assist.jp/data/china/image_1882th/76219143.pdf","76219143")</f>
        <v>76219143</v>
      </c>
      <c r="F1408" s="6" t="s">
        <v>3931</v>
      </c>
      <c r="G1408" s="6" t="s">
        <v>3611</v>
      </c>
      <c r="H1408" s="8" t="s">
        <v>3932</v>
      </c>
      <c r="I1408" s="14">
        <v>45296</v>
      </c>
    </row>
    <row r="1409" spans="1:9" x14ac:dyDescent="0.15">
      <c r="A1409" s="5">
        <v>1408</v>
      </c>
      <c r="B1409" s="6" t="s">
        <v>9</v>
      </c>
      <c r="C1409" s="7">
        <v>1882</v>
      </c>
      <c r="D1409" s="8">
        <v>45388</v>
      </c>
      <c r="E1409" s="9" t="str">
        <f>+HYPERLINK("http://trademark.i-assist.jp/data/china/image_1882th/76219151.pdf","76219151")</f>
        <v>76219151</v>
      </c>
      <c r="F1409" s="6" t="s">
        <v>3933</v>
      </c>
      <c r="G1409" s="6" t="s">
        <v>3934</v>
      </c>
      <c r="H1409" s="8" t="s">
        <v>3935</v>
      </c>
      <c r="I1409" s="14">
        <v>45296</v>
      </c>
    </row>
    <row r="1410" spans="1:9" x14ac:dyDescent="0.15">
      <c r="A1410" s="5">
        <v>1409</v>
      </c>
      <c r="B1410" s="6" t="s">
        <v>9</v>
      </c>
      <c r="C1410" s="7">
        <v>1882</v>
      </c>
      <c r="D1410" s="8">
        <v>45388</v>
      </c>
      <c r="E1410" s="9" t="str">
        <f>+HYPERLINK("http://trademark.i-assist.jp/data/china/image_1882th/76219295.pdf","76219295")</f>
        <v>76219295</v>
      </c>
      <c r="F1410" s="6" t="s">
        <v>3936</v>
      </c>
      <c r="G1410" s="6" t="s">
        <v>3937</v>
      </c>
      <c r="H1410" s="8" t="s">
        <v>3938</v>
      </c>
      <c r="I1410" s="14">
        <v>45296</v>
      </c>
    </row>
    <row r="1411" spans="1:9" x14ac:dyDescent="0.15">
      <c r="A1411" s="5">
        <v>1410</v>
      </c>
      <c r="B1411" s="6" t="s">
        <v>9</v>
      </c>
      <c r="C1411" s="7">
        <v>1882</v>
      </c>
      <c r="D1411" s="8">
        <v>45388</v>
      </c>
      <c r="E1411" s="9" t="str">
        <f>+HYPERLINK("http://trademark.i-assist.jp/data/china/image_1882th/76219369.pdf","76219369")</f>
        <v>76219369</v>
      </c>
      <c r="F1411" s="6" t="s">
        <v>3939</v>
      </c>
      <c r="G1411" s="6" t="s">
        <v>3940</v>
      </c>
      <c r="H1411" s="8" t="s">
        <v>3941</v>
      </c>
      <c r="I1411" s="14">
        <v>45296</v>
      </c>
    </row>
    <row r="1412" spans="1:9" x14ac:dyDescent="0.15">
      <c r="A1412" s="5">
        <v>1411</v>
      </c>
      <c r="B1412" s="6" t="s">
        <v>9</v>
      </c>
      <c r="C1412" s="7">
        <v>1882</v>
      </c>
      <c r="D1412" s="8">
        <v>45388</v>
      </c>
      <c r="E1412" s="9" t="str">
        <f>+HYPERLINK("http://trademark.i-assist.jp/data/china/image_1882th/76219656.pdf","76219656")</f>
        <v>76219656</v>
      </c>
      <c r="F1412" s="6" t="s">
        <v>3942</v>
      </c>
      <c r="G1412" s="6" t="s">
        <v>3943</v>
      </c>
      <c r="H1412" s="8" t="s">
        <v>3944</v>
      </c>
      <c r="I1412" s="14">
        <v>45296</v>
      </c>
    </row>
    <row r="1413" spans="1:9" x14ac:dyDescent="0.15">
      <c r="A1413" s="5">
        <v>1412</v>
      </c>
      <c r="B1413" s="6" t="s">
        <v>9</v>
      </c>
      <c r="C1413" s="7">
        <v>1882</v>
      </c>
      <c r="D1413" s="8">
        <v>45388</v>
      </c>
      <c r="E1413" s="9" t="str">
        <f>+HYPERLINK("http://trademark.i-assist.jp/data/china/image_1882th/76219855.pdf","76219855")</f>
        <v>76219855</v>
      </c>
      <c r="F1413" s="6" t="s">
        <v>3945</v>
      </c>
      <c r="G1413" s="6" t="s">
        <v>3946</v>
      </c>
      <c r="H1413" s="8" t="s">
        <v>3947</v>
      </c>
      <c r="I1413" s="14">
        <v>45296</v>
      </c>
    </row>
    <row r="1414" spans="1:9" x14ac:dyDescent="0.15">
      <c r="A1414" s="5">
        <v>1413</v>
      </c>
      <c r="B1414" s="6" t="s">
        <v>9</v>
      </c>
      <c r="C1414" s="7">
        <v>1882</v>
      </c>
      <c r="D1414" s="8">
        <v>45388</v>
      </c>
      <c r="E1414" s="9" t="str">
        <f>+HYPERLINK("http://trademark.i-assist.jp/data/china/image_1882th/76220081.pdf","76220081")</f>
        <v>76220081</v>
      </c>
      <c r="F1414" s="6" t="s">
        <v>26</v>
      </c>
      <c r="G1414" s="6" t="s">
        <v>3948</v>
      </c>
      <c r="H1414" s="8" t="s">
        <v>3949</v>
      </c>
      <c r="I1414" s="14">
        <v>45296</v>
      </c>
    </row>
    <row r="1415" spans="1:9" x14ac:dyDescent="0.15">
      <c r="A1415" s="5">
        <v>1414</v>
      </c>
      <c r="B1415" s="6" t="s">
        <v>9</v>
      </c>
      <c r="C1415" s="7">
        <v>1882</v>
      </c>
      <c r="D1415" s="8">
        <v>45388</v>
      </c>
      <c r="E1415" s="9" t="str">
        <f>+HYPERLINK("http://trademark.i-assist.jp/data/china/image_1882th/76220133.pdf","76220133")</f>
        <v>76220133</v>
      </c>
      <c r="F1415" s="6" t="s">
        <v>3950</v>
      </c>
      <c r="G1415" s="6" t="s">
        <v>3951</v>
      </c>
      <c r="H1415" s="8" t="s">
        <v>3952</v>
      </c>
      <c r="I1415" s="14">
        <v>45296</v>
      </c>
    </row>
    <row r="1416" spans="1:9" x14ac:dyDescent="0.15">
      <c r="A1416" s="5">
        <v>1415</v>
      </c>
      <c r="B1416" s="6" t="s">
        <v>9</v>
      </c>
      <c r="C1416" s="7">
        <v>1882</v>
      </c>
      <c r="D1416" s="8">
        <v>45388</v>
      </c>
      <c r="E1416" s="9" t="str">
        <f>+HYPERLINK("http://trademark.i-assist.jp/data/china/image_1882th/76220381.pdf","76220381")</f>
        <v>76220381</v>
      </c>
      <c r="F1416" s="6" t="s">
        <v>3953</v>
      </c>
      <c r="G1416" s="6" t="s">
        <v>3954</v>
      </c>
      <c r="H1416" s="8" t="s">
        <v>3955</v>
      </c>
      <c r="I1416" s="14">
        <v>45296</v>
      </c>
    </row>
    <row r="1417" spans="1:9" x14ac:dyDescent="0.15">
      <c r="A1417" s="5">
        <v>1416</v>
      </c>
      <c r="B1417" s="6" t="s">
        <v>9</v>
      </c>
      <c r="C1417" s="7">
        <v>1882</v>
      </c>
      <c r="D1417" s="8">
        <v>45388</v>
      </c>
      <c r="E1417" s="9" t="str">
        <f>+HYPERLINK("http://trademark.i-assist.jp/data/china/image_1882th/76220501.pdf","76220501")</f>
        <v>76220501</v>
      </c>
      <c r="F1417" s="6" t="s">
        <v>3956</v>
      </c>
      <c r="G1417" s="6" t="s">
        <v>3957</v>
      </c>
      <c r="H1417" s="8" t="s">
        <v>3958</v>
      </c>
      <c r="I1417" s="14">
        <v>45296</v>
      </c>
    </row>
    <row r="1418" spans="1:9" x14ac:dyDescent="0.15">
      <c r="A1418" s="5">
        <v>1417</v>
      </c>
      <c r="B1418" s="6" t="s">
        <v>9</v>
      </c>
      <c r="C1418" s="7">
        <v>1882</v>
      </c>
      <c r="D1418" s="8">
        <v>45388</v>
      </c>
      <c r="E1418" s="9" t="str">
        <f>+HYPERLINK("http://trademark.i-assist.jp/data/china/image_1882th/76220764.pdf","76220764")</f>
        <v>76220764</v>
      </c>
      <c r="F1418" s="6" t="s">
        <v>3959</v>
      </c>
      <c r="G1418" s="6" t="s">
        <v>3960</v>
      </c>
      <c r="H1418" s="8" t="s">
        <v>3961</v>
      </c>
      <c r="I1418" s="14">
        <v>45296</v>
      </c>
    </row>
    <row r="1419" spans="1:9" x14ac:dyDescent="0.15">
      <c r="A1419" s="5">
        <v>1418</v>
      </c>
      <c r="B1419" s="6" t="s">
        <v>9</v>
      </c>
      <c r="C1419" s="7">
        <v>1882</v>
      </c>
      <c r="D1419" s="8">
        <v>45388</v>
      </c>
      <c r="E1419" s="9" t="str">
        <f>+HYPERLINK("http://trademark.i-assist.jp/data/china/image_1882th/76220908.pdf","76220908")</f>
        <v>76220908</v>
      </c>
      <c r="F1419" s="6" t="s">
        <v>3962</v>
      </c>
      <c r="G1419" s="6" t="s">
        <v>3963</v>
      </c>
      <c r="H1419" s="8" t="s">
        <v>3964</v>
      </c>
      <c r="I1419" s="14">
        <v>45296</v>
      </c>
    </row>
    <row r="1420" spans="1:9" x14ac:dyDescent="0.15">
      <c r="A1420" s="5">
        <v>1419</v>
      </c>
      <c r="B1420" s="6" t="s">
        <v>9</v>
      </c>
      <c r="C1420" s="7">
        <v>1882</v>
      </c>
      <c r="D1420" s="8">
        <v>45388</v>
      </c>
      <c r="E1420" s="9" t="str">
        <f>+HYPERLINK("http://trademark.i-assist.jp/data/china/image_1882th/76220985.pdf","76220985")</f>
        <v>76220985</v>
      </c>
      <c r="F1420" s="6" t="s">
        <v>3965</v>
      </c>
      <c r="G1420" s="6" t="s">
        <v>3966</v>
      </c>
      <c r="H1420" s="8" t="s">
        <v>3967</v>
      </c>
      <c r="I1420" s="14">
        <v>45296</v>
      </c>
    </row>
    <row r="1421" spans="1:9" x14ac:dyDescent="0.15">
      <c r="A1421" s="5">
        <v>1420</v>
      </c>
      <c r="B1421" s="6" t="s">
        <v>9</v>
      </c>
      <c r="C1421" s="7">
        <v>1882</v>
      </c>
      <c r="D1421" s="8">
        <v>45388</v>
      </c>
      <c r="E1421" s="9" t="str">
        <f>+HYPERLINK("http://trademark.i-assist.jp/data/china/image_1882th/76221001.pdf","76221001")</f>
        <v>76221001</v>
      </c>
      <c r="F1421" s="6" t="s">
        <v>3968</v>
      </c>
      <c r="G1421" s="6" t="s">
        <v>3697</v>
      </c>
      <c r="H1421" s="8" t="s">
        <v>3969</v>
      </c>
      <c r="I1421" s="14">
        <v>45296</v>
      </c>
    </row>
    <row r="1422" spans="1:9" x14ac:dyDescent="0.15">
      <c r="A1422" s="5">
        <v>1421</v>
      </c>
      <c r="B1422" s="6" t="s">
        <v>9</v>
      </c>
      <c r="C1422" s="7">
        <v>1882</v>
      </c>
      <c r="D1422" s="8">
        <v>45388</v>
      </c>
      <c r="E1422" s="9" t="str">
        <f>+HYPERLINK("http://trademark.i-assist.jp/data/china/image_1882th/76221239.pdf","76221239")</f>
        <v>76221239</v>
      </c>
      <c r="F1422" s="6" t="s">
        <v>3970</v>
      </c>
      <c r="G1422" s="6" t="s">
        <v>3971</v>
      </c>
      <c r="H1422" s="8" t="s">
        <v>3972</v>
      </c>
      <c r="I1422" s="14">
        <v>45296</v>
      </c>
    </row>
    <row r="1423" spans="1:9" x14ac:dyDescent="0.15">
      <c r="A1423" s="5">
        <v>1422</v>
      </c>
      <c r="B1423" s="6" t="s">
        <v>9</v>
      </c>
      <c r="C1423" s="7">
        <v>1882</v>
      </c>
      <c r="D1423" s="8">
        <v>45388</v>
      </c>
      <c r="E1423" s="9" t="str">
        <f>+HYPERLINK("http://trademark.i-assist.jp/data/china/image_1882th/76221423.pdf","76221423")</f>
        <v>76221423</v>
      </c>
      <c r="F1423" s="6" t="s">
        <v>3973</v>
      </c>
      <c r="G1423" s="6" t="s">
        <v>3974</v>
      </c>
      <c r="H1423" s="8" t="s">
        <v>3975</v>
      </c>
      <c r="I1423" s="14">
        <v>45296</v>
      </c>
    </row>
    <row r="1424" spans="1:9" x14ac:dyDescent="0.15">
      <c r="A1424" s="5">
        <v>1423</v>
      </c>
      <c r="B1424" s="6" t="s">
        <v>9</v>
      </c>
      <c r="C1424" s="7">
        <v>1882</v>
      </c>
      <c r="D1424" s="8">
        <v>45388</v>
      </c>
      <c r="E1424" s="9" t="str">
        <f>+HYPERLINK("http://trademark.i-assist.jp/data/china/image_1882th/76221550.pdf","76221550")</f>
        <v>76221550</v>
      </c>
      <c r="F1424" s="6" t="s">
        <v>3976</v>
      </c>
      <c r="G1424" s="6" t="s">
        <v>3674</v>
      </c>
      <c r="H1424" s="8" t="s">
        <v>3977</v>
      </c>
      <c r="I1424" s="14">
        <v>45296</v>
      </c>
    </row>
    <row r="1425" spans="1:9" x14ac:dyDescent="0.15">
      <c r="A1425" s="5">
        <v>1424</v>
      </c>
      <c r="B1425" s="6" t="s">
        <v>9</v>
      </c>
      <c r="C1425" s="7">
        <v>1882</v>
      </c>
      <c r="D1425" s="8">
        <v>45388</v>
      </c>
      <c r="E1425" s="9" t="str">
        <f>+HYPERLINK("http://trademark.i-assist.jp/data/china/image_1882th/76221601.pdf","76221601")</f>
        <v>76221601</v>
      </c>
      <c r="F1425" s="6" t="s">
        <v>3978</v>
      </c>
      <c r="G1425" s="6" t="s">
        <v>3979</v>
      </c>
      <c r="H1425" s="8" t="s">
        <v>3980</v>
      </c>
      <c r="I1425" s="14">
        <v>45296</v>
      </c>
    </row>
    <row r="1426" spans="1:9" x14ac:dyDescent="0.15">
      <c r="A1426" s="5">
        <v>1425</v>
      </c>
      <c r="B1426" s="6" t="s">
        <v>9</v>
      </c>
      <c r="C1426" s="7">
        <v>1882</v>
      </c>
      <c r="D1426" s="8">
        <v>45388</v>
      </c>
      <c r="E1426" s="9" t="str">
        <f>+HYPERLINK("http://trademark.i-assist.jp/data/china/image_1882th/76221771.pdf","76221771")</f>
        <v>76221771</v>
      </c>
      <c r="F1426" s="6" t="s">
        <v>3981</v>
      </c>
      <c r="G1426" s="6" t="s">
        <v>3982</v>
      </c>
      <c r="H1426" s="8" t="s">
        <v>3983</v>
      </c>
      <c r="I1426" s="14">
        <v>45296</v>
      </c>
    </row>
    <row r="1427" spans="1:9" x14ac:dyDescent="0.15">
      <c r="A1427" s="5">
        <v>1426</v>
      </c>
      <c r="B1427" s="6" t="s">
        <v>9</v>
      </c>
      <c r="C1427" s="7">
        <v>1882</v>
      </c>
      <c r="D1427" s="8">
        <v>45388</v>
      </c>
      <c r="E1427" s="9" t="str">
        <f>+HYPERLINK("http://trademark.i-assist.jp/data/china/image_1882th/76221909.pdf","76221909")</f>
        <v>76221909</v>
      </c>
      <c r="F1427" s="6" t="s">
        <v>3984</v>
      </c>
      <c r="G1427" s="6" t="s">
        <v>3985</v>
      </c>
      <c r="H1427" s="8" t="s">
        <v>3986</v>
      </c>
      <c r="I1427" s="14">
        <v>45296</v>
      </c>
    </row>
    <row r="1428" spans="1:9" x14ac:dyDescent="0.15">
      <c r="A1428" s="5">
        <v>1427</v>
      </c>
      <c r="B1428" s="6" t="s">
        <v>9</v>
      </c>
      <c r="C1428" s="7">
        <v>1882</v>
      </c>
      <c r="D1428" s="8">
        <v>45388</v>
      </c>
      <c r="E1428" s="9" t="str">
        <f>+HYPERLINK("http://trademark.i-assist.jp/data/china/image_1882th/76221926.pdf","76221926")</f>
        <v>76221926</v>
      </c>
      <c r="F1428" s="6" t="s">
        <v>26</v>
      </c>
      <c r="G1428" s="6" t="s">
        <v>3987</v>
      </c>
      <c r="H1428" s="8" t="s">
        <v>3988</v>
      </c>
      <c r="I1428" s="14">
        <v>45296</v>
      </c>
    </row>
    <row r="1429" spans="1:9" x14ac:dyDescent="0.15">
      <c r="A1429" s="5">
        <v>1428</v>
      </c>
      <c r="B1429" s="6" t="s">
        <v>9</v>
      </c>
      <c r="C1429" s="7">
        <v>1882</v>
      </c>
      <c r="D1429" s="8">
        <v>45388</v>
      </c>
      <c r="E1429" s="9" t="str">
        <f>+HYPERLINK("http://trademark.i-assist.jp/data/china/image_1882th/76222199.pdf","76222199")</f>
        <v>76222199</v>
      </c>
      <c r="F1429" s="6" t="s">
        <v>3920</v>
      </c>
      <c r="G1429" s="6" t="s">
        <v>3605</v>
      </c>
      <c r="H1429" s="8" t="s">
        <v>3989</v>
      </c>
      <c r="I1429" s="14">
        <v>45296</v>
      </c>
    </row>
    <row r="1430" spans="1:9" x14ac:dyDescent="0.15">
      <c r="A1430" s="5">
        <v>1429</v>
      </c>
      <c r="B1430" s="6" t="s">
        <v>9</v>
      </c>
      <c r="C1430" s="7">
        <v>1882</v>
      </c>
      <c r="D1430" s="8">
        <v>45388</v>
      </c>
      <c r="E1430" s="9" t="str">
        <f>+HYPERLINK("http://trademark.i-assist.jp/data/china/image_1882th/76222227.pdf","76222227")</f>
        <v>76222227</v>
      </c>
      <c r="F1430" s="6" t="s">
        <v>3990</v>
      </c>
      <c r="G1430" s="6" t="s">
        <v>3605</v>
      </c>
      <c r="H1430" s="8" t="s">
        <v>3991</v>
      </c>
      <c r="I1430" s="14">
        <v>45296</v>
      </c>
    </row>
    <row r="1431" spans="1:9" x14ac:dyDescent="0.15">
      <c r="A1431" s="5">
        <v>1430</v>
      </c>
      <c r="B1431" s="6" t="s">
        <v>9</v>
      </c>
      <c r="C1431" s="7">
        <v>1882</v>
      </c>
      <c r="D1431" s="8">
        <v>45388</v>
      </c>
      <c r="E1431" s="9" t="str">
        <f>+HYPERLINK("http://trademark.i-assist.jp/data/china/image_1882th/76222352.pdf","76222352")</f>
        <v>76222352</v>
      </c>
      <c r="F1431" s="6" t="s">
        <v>3992</v>
      </c>
      <c r="G1431" s="6" t="s">
        <v>3993</v>
      </c>
      <c r="H1431" s="8" t="s">
        <v>3994</v>
      </c>
      <c r="I1431" s="14">
        <v>45296</v>
      </c>
    </row>
    <row r="1432" spans="1:9" x14ac:dyDescent="0.15">
      <c r="A1432" s="5">
        <v>1431</v>
      </c>
      <c r="B1432" s="6" t="s">
        <v>9</v>
      </c>
      <c r="C1432" s="7">
        <v>1882</v>
      </c>
      <c r="D1432" s="8">
        <v>45388</v>
      </c>
      <c r="E1432" s="9" t="str">
        <f>+HYPERLINK("http://trademark.i-assist.jp/data/china/image_1882th/76222392.pdf","76222392")</f>
        <v>76222392</v>
      </c>
      <c r="F1432" s="6" t="s">
        <v>3995</v>
      </c>
      <c r="G1432" s="6" t="s">
        <v>3996</v>
      </c>
      <c r="H1432" s="8" t="s">
        <v>3997</v>
      </c>
      <c r="I1432" s="14">
        <v>45296</v>
      </c>
    </row>
    <row r="1433" spans="1:9" x14ac:dyDescent="0.15">
      <c r="A1433" s="5">
        <v>1432</v>
      </c>
      <c r="B1433" s="6" t="s">
        <v>9</v>
      </c>
      <c r="C1433" s="7">
        <v>1882</v>
      </c>
      <c r="D1433" s="8">
        <v>45388</v>
      </c>
      <c r="E1433" s="9" t="str">
        <f>+HYPERLINK("http://trademark.i-assist.jp/data/china/image_1882th/76222594.pdf","76222594")</f>
        <v>76222594</v>
      </c>
      <c r="F1433" s="6" t="s">
        <v>3998</v>
      </c>
      <c r="G1433" s="6" t="s">
        <v>3999</v>
      </c>
      <c r="H1433" s="8" t="s">
        <v>4000</v>
      </c>
      <c r="I1433" s="14">
        <v>45296</v>
      </c>
    </row>
    <row r="1434" spans="1:9" x14ac:dyDescent="0.15">
      <c r="A1434" s="5">
        <v>1433</v>
      </c>
      <c r="B1434" s="6" t="s">
        <v>9</v>
      </c>
      <c r="C1434" s="7">
        <v>1882</v>
      </c>
      <c r="D1434" s="8">
        <v>45388</v>
      </c>
      <c r="E1434" s="9" t="str">
        <f>+HYPERLINK("http://trademark.i-assist.jp/data/china/image_1882th/76222694.pdf","76222694")</f>
        <v>76222694</v>
      </c>
      <c r="F1434" s="6" t="s">
        <v>4001</v>
      </c>
      <c r="G1434" s="6" t="s">
        <v>4002</v>
      </c>
      <c r="H1434" s="8" t="s">
        <v>4003</v>
      </c>
      <c r="I1434" s="14">
        <v>45296</v>
      </c>
    </row>
    <row r="1435" spans="1:9" x14ac:dyDescent="0.15">
      <c r="A1435" s="5">
        <v>1434</v>
      </c>
      <c r="B1435" s="6" t="s">
        <v>9</v>
      </c>
      <c r="C1435" s="7">
        <v>1882</v>
      </c>
      <c r="D1435" s="8">
        <v>45388</v>
      </c>
      <c r="E1435" s="9" t="str">
        <f>+HYPERLINK("http://trademark.i-assist.jp/data/china/image_1882th/76223016.pdf","76223016")</f>
        <v>76223016</v>
      </c>
      <c r="F1435" s="6" t="s">
        <v>4004</v>
      </c>
      <c r="G1435" s="6" t="s">
        <v>4005</v>
      </c>
      <c r="H1435" s="8" t="s">
        <v>4006</v>
      </c>
      <c r="I1435" s="14">
        <v>45296</v>
      </c>
    </row>
    <row r="1436" spans="1:9" x14ac:dyDescent="0.15">
      <c r="A1436" s="5">
        <v>1435</v>
      </c>
      <c r="B1436" s="6" t="s">
        <v>9</v>
      </c>
      <c r="C1436" s="7">
        <v>1882</v>
      </c>
      <c r="D1436" s="8">
        <v>45388</v>
      </c>
      <c r="E1436" s="9" t="str">
        <f>+HYPERLINK("http://trademark.i-assist.jp/data/china/image_1882th/76223371.pdf","76223371")</f>
        <v>76223371</v>
      </c>
      <c r="F1436" s="6" t="s">
        <v>4007</v>
      </c>
      <c r="G1436" s="6" t="s">
        <v>4008</v>
      </c>
      <c r="H1436" s="8" t="s">
        <v>4009</v>
      </c>
      <c r="I1436" s="14">
        <v>45296</v>
      </c>
    </row>
    <row r="1437" spans="1:9" x14ac:dyDescent="0.15">
      <c r="A1437" s="5">
        <v>1436</v>
      </c>
      <c r="B1437" s="6" t="s">
        <v>9</v>
      </c>
      <c r="C1437" s="7">
        <v>1882</v>
      </c>
      <c r="D1437" s="8">
        <v>45388</v>
      </c>
      <c r="E1437" s="9" t="str">
        <f>+HYPERLINK("http://trademark.i-assist.jp/data/china/image_1882th/76223392.pdf","76223392")</f>
        <v>76223392</v>
      </c>
      <c r="F1437" s="6" t="s">
        <v>4010</v>
      </c>
      <c r="G1437" s="6" t="s">
        <v>4011</v>
      </c>
      <c r="H1437" s="8" t="s">
        <v>4012</v>
      </c>
      <c r="I1437" s="14">
        <v>45296</v>
      </c>
    </row>
    <row r="1438" spans="1:9" x14ac:dyDescent="0.15">
      <c r="A1438" s="5">
        <v>1437</v>
      </c>
      <c r="B1438" s="6" t="s">
        <v>9</v>
      </c>
      <c r="C1438" s="7">
        <v>1882</v>
      </c>
      <c r="D1438" s="8">
        <v>45388</v>
      </c>
      <c r="E1438" s="9" t="str">
        <f>+HYPERLINK("http://trademark.i-assist.jp/data/china/image_1882th/76223488.pdf","76223488")</f>
        <v>76223488</v>
      </c>
      <c r="F1438" s="6" t="s">
        <v>4013</v>
      </c>
      <c r="G1438" s="6" t="s">
        <v>3722</v>
      </c>
      <c r="H1438" s="8" t="s">
        <v>4014</v>
      </c>
      <c r="I1438" s="14">
        <v>45296</v>
      </c>
    </row>
    <row r="1439" spans="1:9" x14ac:dyDescent="0.15">
      <c r="A1439" s="5">
        <v>1438</v>
      </c>
      <c r="B1439" s="6" t="s">
        <v>9</v>
      </c>
      <c r="C1439" s="7">
        <v>1882</v>
      </c>
      <c r="D1439" s="8">
        <v>45388</v>
      </c>
      <c r="E1439" s="9" t="str">
        <f>+HYPERLINK("http://trademark.i-assist.jp/data/china/image_1882th/76223525.pdf","76223525")</f>
        <v>76223525</v>
      </c>
      <c r="F1439" s="6" t="s">
        <v>4015</v>
      </c>
      <c r="G1439" s="6" t="s">
        <v>4016</v>
      </c>
      <c r="H1439" s="8" t="s">
        <v>4017</v>
      </c>
      <c r="I1439" s="14">
        <v>45296</v>
      </c>
    </row>
    <row r="1440" spans="1:9" x14ac:dyDescent="0.15">
      <c r="A1440" s="5">
        <v>1439</v>
      </c>
      <c r="B1440" s="6" t="s">
        <v>9</v>
      </c>
      <c r="C1440" s="7">
        <v>1882</v>
      </c>
      <c r="D1440" s="8">
        <v>45388</v>
      </c>
      <c r="E1440" s="9" t="str">
        <f>+HYPERLINK("http://trademark.i-assist.jp/data/china/image_1882th/76223984.pdf","76223984")</f>
        <v>76223984</v>
      </c>
      <c r="F1440" s="6" t="s">
        <v>4018</v>
      </c>
      <c r="G1440" s="6" t="s">
        <v>4019</v>
      </c>
      <c r="H1440" s="8" t="s">
        <v>4020</v>
      </c>
      <c r="I1440" s="14">
        <v>45296</v>
      </c>
    </row>
    <row r="1441" spans="1:9" x14ac:dyDescent="0.15">
      <c r="A1441" s="5">
        <v>1440</v>
      </c>
      <c r="B1441" s="6" t="s">
        <v>9</v>
      </c>
      <c r="C1441" s="7">
        <v>1882</v>
      </c>
      <c r="D1441" s="8">
        <v>45388</v>
      </c>
      <c r="E1441" s="9" t="str">
        <f>+HYPERLINK("http://trademark.i-assist.jp/data/china/image_1882th/76224403.pdf","76224403")</f>
        <v>76224403</v>
      </c>
      <c r="F1441" s="6" t="s">
        <v>4021</v>
      </c>
      <c r="G1441" s="6" t="s">
        <v>4022</v>
      </c>
      <c r="H1441" s="8" t="s">
        <v>4023</v>
      </c>
      <c r="I1441" s="14">
        <v>45296</v>
      </c>
    </row>
    <row r="1442" spans="1:9" x14ac:dyDescent="0.15">
      <c r="A1442" s="5">
        <v>1441</v>
      </c>
      <c r="B1442" s="6" t="s">
        <v>9</v>
      </c>
      <c r="C1442" s="7">
        <v>1882</v>
      </c>
      <c r="D1442" s="8">
        <v>45388</v>
      </c>
      <c r="E1442" s="9" t="str">
        <f>+HYPERLINK("http://trademark.i-assist.jp/data/china/image_1882th/76224464.pdf","76224464")</f>
        <v>76224464</v>
      </c>
      <c r="F1442" s="6" t="s">
        <v>4024</v>
      </c>
      <c r="G1442" s="6" t="s">
        <v>3743</v>
      </c>
      <c r="H1442" s="8" t="s">
        <v>4025</v>
      </c>
      <c r="I1442" s="14">
        <v>45296</v>
      </c>
    </row>
    <row r="1443" spans="1:9" x14ac:dyDescent="0.15">
      <c r="A1443" s="5">
        <v>1442</v>
      </c>
      <c r="B1443" s="6" t="s">
        <v>9</v>
      </c>
      <c r="C1443" s="7">
        <v>1882</v>
      </c>
      <c r="D1443" s="8">
        <v>45388</v>
      </c>
      <c r="E1443" s="9" t="str">
        <f>+HYPERLINK("http://trademark.i-assist.jp/data/china/image_1882th/76224739.pdf","76224739")</f>
        <v>76224739</v>
      </c>
      <c r="F1443" s="6" t="s">
        <v>4026</v>
      </c>
      <c r="G1443" s="6" t="s">
        <v>3844</v>
      </c>
      <c r="H1443" s="8" t="s">
        <v>4027</v>
      </c>
      <c r="I1443" s="14">
        <v>45296</v>
      </c>
    </row>
    <row r="1444" spans="1:9" x14ac:dyDescent="0.15">
      <c r="A1444" s="5">
        <v>1443</v>
      </c>
      <c r="B1444" s="6" t="s">
        <v>9</v>
      </c>
      <c r="C1444" s="7">
        <v>1882</v>
      </c>
      <c r="D1444" s="8">
        <v>45388</v>
      </c>
      <c r="E1444" s="9" t="str">
        <f>+HYPERLINK("http://trademark.i-assist.jp/data/china/image_1882th/76225265.pdf","76225265")</f>
        <v>76225265</v>
      </c>
      <c r="F1444" s="6" t="s">
        <v>4028</v>
      </c>
      <c r="G1444" s="6" t="s">
        <v>4029</v>
      </c>
      <c r="H1444" s="8" t="s">
        <v>4030</v>
      </c>
      <c r="I1444" s="14">
        <v>45296</v>
      </c>
    </row>
    <row r="1445" spans="1:9" x14ac:dyDescent="0.15">
      <c r="A1445" s="5">
        <v>1444</v>
      </c>
      <c r="B1445" s="6" t="s">
        <v>9</v>
      </c>
      <c r="C1445" s="7">
        <v>1882</v>
      </c>
      <c r="D1445" s="8">
        <v>45388</v>
      </c>
      <c r="E1445" s="9" t="str">
        <f>+HYPERLINK("http://trademark.i-assist.jp/data/china/image_1882th/76225495.pdf","76225495")</f>
        <v>76225495</v>
      </c>
      <c r="F1445" s="6" t="s">
        <v>4031</v>
      </c>
      <c r="G1445" s="6" t="s">
        <v>4032</v>
      </c>
      <c r="H1445" s="8" t="s">
        <v>4033</v>
      </c>
      <c r="I1445" s="14">
        <v>45296</v>
      </c>
    </row>
    <row r="1446" spans="1:9" x14ac:dyDescent="0.15">
      <c r="A1446" s="5">
        <v>1445</v>
      </c>
      <c r="B1446" s="6" t="s">
        <v>9</v>
      </c>
      <c r="C1446" s="7">
        <v>1882</v>
      </c>
      <c r="D1446" s="8">
        <v>45388</v>
      </c>
      <c r="E1446" s="9" t="str">
        <f>+HYPERLINK("http://trademark.i-assist.jp/data/china/image_1882th/76225539.pdf","76225539")</f>
        <v>76225539</v>
      </c>
      <c r="F1446" s="6" t="s">
        <v>4034</v>
      </c>
      <c r="G1446" s="6" t="s">
        <v>4035</v>
      </c>
      <c r="H1446" s="8" t="s">
        <v>4036</v>
      </c>
      <c r="I1446" s="14">
        <v>45296</v>
      </c>
    </row>
    <row r="1447" spans="1:9" x14ac:dyDescent="0.15">
      <c r="A1447" s="5">
        <v>1446</v>
      </c>
      <c r="B1447" s="6" t="s">
        <v>9</v>
      </c>
      <c r="C1447" s="7">
        <v>1882</v>
      </c>
      <c r="D1447" s="8">
        <v>45388</v>
      </c>
      <c r="E1447" s="9" t="str">
        <f>+HYPERLINK("http://trademark.i-assist.jp/data/china/image_1882th/76225541.pdf","76225541")</f>
        <v>76225541</v>
      </c>
      <c r="F1447" s="6" t="s">
        <v>4037</v>
      </c>
      <c r="G1447" s="6" t="s">
        <v>3871</v>
      </c>
      <c r="H1447" s="8" t="s">
        <v>4038</v>
      </c>
      <c r="I1447" s="14">
        <v>45296</v>
      </c>
    </row>
    <row r="1448" spans="1:9" x14ac:dyDescent="0.15">
      <c r="A1448" s="5">
        <v>1447</v>
      </c>
      <c r="B1448" s="6" t="s">
        <v>9</v>
      </c>
      <c r="C1448" s="7">
        <v>1882</v>
      </c>
      <c r="D1448" s="8">
        <v>45388</v>
      </c>
      <c r="E1448" s="9" t="str">
        <f>+HYPERLINK("http://trademark.i-assist.jp/data/china/image_1882th/76225565.pdf","76225565")</f>
        <v>76225565</v>
      </c>
      <c r="F1448" s="6" t="s">
        <v>4039</v>
      </c>
      <c r="G1448" s="6" t="s">
        <v>4040</v>
      </c>
      <c r="H1448" s="8" t="s">
        <v>4041</v>
      </c>
      <c r="I1448" s="14">
        <v>45296</v>
      </c>
    </row>
    <row r="1449" spans="1:9" x14ac:dyDescent="0.15">
      <c r="A1449" s="5">
        <v>1448</v>
      </c>
      <c r="B1449" s="6" t="s">
        <v>9</v>
      </c>
      <c r="C1449" s="7">
        <v>1882</v>
      </c>
      <c r="D1449" s="8">
        <v>45388</v>
      </c>
      <c r="E1449" s="9" t="str">
        <f>+HYPERLINK("http://trademark.i-assist.jp/data/china/image_1882th/76225609.pdf","76225609")</f>
        <v>76225609</v>
      </c>
      <c r="F1449" s="6" t="s">
        <v>4042</v>
      </c>
      <c r="G1449" s="6" t="s">
        <v>3929</v>
      </c>
      <c r="H1449" s="8" t="s">
        <v>4043</v>
      </c>
      <c r="I1449" s="14">
        <v>45296</v>
      </c>
    </row>
    <row r="1450" spans="1:9" x14ac:dyDescent="0.15">
      <c r="A1450" s="5">
        <v>1449</v>
      </c>
      <c r="B1450" s="6" t="s">
        <v>9</v>
      </c>
      <c r="C1450" s="7">
        <v>1882</v>
      </c>
      <c r="D1450" s="8">
        <v>45388</v>
      </c>
      <c r="E1450" s="9" t="str">
        <f>+HYPERLINK("http://trademark.i-assist.jp/data/china/image_1882th/76225792.pdf","76225792")</f>
        <v>76225792</v>
      </c>
      <c r="F1450" s="6" t="s">
        <v>4044</v>
      </c>
      <c r="G1450" s="6" t="s">
        <v>4045</v>
      </c>
      <c r="H1450" s="8" t="s">
        <v>4046</v>
      </c>
      <c r="I1450" s="14">
        <v>45296</v>
      </c>
    </row>
    <row r="1451" spans="1:9" x14ac:dyDescent="0.15">
      <c r="A1451" s="5">
        <v>1450</v>
      </c>
      <c r="B1451" s="6" t="s">
        <v>9</v>
      </c>
      <c r="C1451" s="7">
        <v>1882</v>
      </c>
      <c r="D1451" s="8">
        <v>45388</v>
      </c>
      <c r="E1451" s="9" t="str">
        <f>+HYPERLINK("http://trademark.i-assist.jp/data/china/image_1882th/76226507.pdf","76226507")</f>
        <v>76226507</v>
      </c>
      <c r="F1451" s="6" t="s">
        <v>4047</v>
      </c>
      <c r="G1451" s="6" t="s">
        <v>4048</v>
      </c>
      <c r="H1451" s="8" t="s">
        <v>4049</v>
      </c>
      <c r="I1451" s="14">
        <v>45296</v>
      </c>
    </row>
    <row r="1452" spans="1:9" x14ac:dyDescent="0.15">
      <c r="A1452" s="5">
        <v>1451</v>
      </c>
      <c r="B1452" s="6" t="s">
        <v>9</v>
      </c>
      <c r="C1452" s="7">
        <v>1882</v>
      </c>
      <c r="D1452" s="8">
        <v>45388</v>
      </c>
      <c r="E1452" s="9" t="str">
        <f>+HYPERLINK("http://trademark.i-assist.jp/data/china/image_1882th/76226667.pdf","76226667")</f>
        <v>76226667</v>
      </c>
      <c r="F1452" s="6" t="s">
        <v>4050</v>
      </c>
      <c r="G1452" s="6" t="s">
        <v>4051</v>
      </c>
      <c r="H1452" s="8" t="s">
        <v>4052</v>
      </c>
      <c r="I1452" s="14">
        <v>45296</v>
      </c>
    </row>
    <row r="1453" spans="1:9" x14ac:dyDescent="0.15">
      <c r="A1453" s="5">
        <v>1452</v>
      </c>
      <c r="B1453" s="6" t="s">
        <v>9</v>
      </c>
      <c r="C1453" s="7">
        <v>1882</v>
      </c>
      <c r="D1453" s="8">
        <v>45388</v>
      </c>
      <c r="E1453" s="9" t="str">
        <f>+HYPERLINK("http://trademark.i-assist.jp/data/china/image_1882th/76226724.pdf","76226724")</f>
        <v>76226724</v>
      </c>
      <c r="F1453" s="6" t="s">
        <v>4053</v>
      </c>
      <c r="G1453" s="6" t="s">
        <v>3750</v>
      </c>
      <c r="H1453" s="8" t="s">
        <v>4054</v>
      </c>
      <c r="I1453" s="14">
        <v>45296</v>
      </c>
    </row>
    <row r="1454" spans="1:9" x14ac:dyDescent="0.15">
      <c r="A1454" s="5">
        <v>1453</v>
      </c>
      <c r="B1454" s="6" t="s">
        <v>9</v>
      </c>
      <c r="C1454" s="7">
        <v>1882</v>
      </c>
      <c r="D1454" s="8">
        <v>45388</v>
      </c>
      <c r="E1454" s="9" t="str">
        <f>+HYPERLINK("http://trademark.i-assist.jp/data/china/image_1882th/76226756.pdf","76226756")</f>
        <v>76226756</v>
      </c>
      <c r="F1454" s="6" t="s">
        <v>4055</v>
      </c>
      <c r="G1454" s="6" t="s">
        <v>4056</v>
      </c>
      <c r="H1454" s="8" t="s">
        <v>4057</v>
      </c>
      <c r="I1454" s="14">
        <v>45296</v>
      </c>
    </row>
    <row r="1455" spans="1:9" x14ac:dyDescent="0.15">
      <c r="A1455" s="5">
        <v>1454</v>
      </c>
      <c r="B1455" s="6" t="s">
        <v>9</v>
      </c>
      <c r="C1455" s="7">
        <v>1882</v>
      </c>
      <c r="D1455" s="8">
        <v>45388</v>
      </c>
      <c r="E1455" s="9" t="str">
        <f>+HYPERLINK("http://trademark.i-assist.jp/data/china/image_1882th/76226795.pdf","76226795")</f>
        <v>76226795</v>
      </c>
      <c r="F1455" s="6" t="s">
        <v>4058</v>
      </c>
      <c r="G1455" s="6" t="s">
        <v>4059</v>
      </c>
      <c r="H1455" s="8" t="s">
        <v>4060</v>
      </c>
      <c r="I1455" s="14">
        <v>45296</v>
      </c>
    </row>
    <row r="1456" spans="1:9" x14ac:dyDescent="0.15">
      <c r="A1456" s="5">
        <v>1455</v>
      </c>
      <c r="B1456" s="6" t="s">
        <v>9</v>
      </c>
      <c r="C1456" s="7">
        <v>1882</v>
      </c>
      <c r="D1456" s="8">
        <v>45388</v>
      </c>
      <c r="E1456" s="9" t="str">
        <f>+HYPERLINK("http://trademark.i-assist.jp/data/china/image_1882th/76226955.pdf","76226955")</f>
        <v>76226955</v>
      </c>
      <c r="F1456" s="6" t="s">
        <v>4061</v>
      </c>
      <c r="G1456" s="6" t="s">
        <v>3677</v>
      </c>
      <c r="H1456" s="8" t="s">
        <v>4062</v>
      </c>
      <c r="I1456" s="14">
        <v>45296</v>
      </c>
    </row>
    <row r="1457" spans="1:9" x14ac:dyDescent="0.15">
      <c r="A1457" s="5">
        <v>1456</v>
      </c>
      <c r="B1457" s="6" t="s">
        <v>9</v>
      </c>
      <c r="C1457" s="7">
        <v>1882</v>
      </c>
      <c r="D1457" s="8">
        <v>45388</v>
      </c>
      <c r="E1457" s="9" t="str">
        <f>+HYPERLINK("http://trademark.i-assist.jp/data/china/image_1882th/76227006.pdf","76227006")</f>
        <v>76227006</v>
      </c>
      <c r="F1457" s="6" t="s">
        <v>4063</v>
      </c>
      <c r="G1457" s="6" t="s">
        <v>4064</v>
      </c>
      <c r="H1457" s="8" t="s">
        <v>4065</v>
      </c>
      <c r="I1457" s="14">
        <v>45296</v>
      </c>
    </row>
    <row r="1458" spans="1:9" x14ac:dyDescent="0.15">
      <c r="A1458" s="5">
        <v>1457</v>
      </c>
      <c r="B1458" s="6" t="s">
        <v>9</v>
      </c>
      <c r="C1458" s="7">
        <v>1882</v>
      </c>
      <c r="D1458" s="8">
        <v>45388</v>
      </c>
      <c r="E1458" s="9" t="str">
        <f>+HYPERLINK("http://trademark.i-assist.jp/data/china/image_1882th/76227008.pdf","76227008")</f>
        <v>76227008</v>
      </c>
      <c r="F1458" s="6" t="s">
        <v>4066</v>
      </c>
      <c r="G1458" s="6" t="s">
        <v>4067</v>
      </c>
      <c r="H1458" s="8" t="s">
        <v>4068</v>
      </c>
      <c r="I1458" s="14">
        <v>45296</v>
      </c>
    </row>
    <row r="1459" spans="1:9" x14ac:dyDescent="0.15">
      <c r="A1459" s="5">
        <v>1458</v>
      </c>
      <c r="B1459" s="6" t="s">
        <v>9</v>
      </c>
      <c r="C1459" s="7">
        <v>1882</v>
      </c>
      <c r="D1459" s="8">
        <v>45388</v>
      </c>
      <c r="E1459" s="9" t="str">
        <f>+HYPERLINK("http://trademark.i-assist.jp/data/china/image_1882th/76227158.pdf","76227158")</f>
        <v>76227158</v>
      </c>
      <c r="F1459" s="6" t="s">
        <v>4069</v>
      </c>
      <c r="G1459" s="6" t="s">
        <v>4070</v>
      </c>
      <c r="H1459" s="8" t="s">
        <v>4071</v>
      </c>
      <c r="I1459" s="14">
        <v>45296</v>
      </c>
    </row>
    <row r="1460" spans="1:9" x14ac:dyDescent="0.15">
      <c r="A1460" s="5">
        <v>1459</v>
      </c>
      <c r="B1460" s="6" t="s">
        <v>9</v>
      </c>
      <c r="C1460" s="7">
        <v>1882</v>
      </c>
      <c r="D1460" s="8">
        <v>45388</v>
      </c>
      <c r="E1460" s="9" t="str">
        <f>+HYPERLINK("http://trademark.i-assist.jp/data/china/image_1882th/76227429.pdf","76227429")</f>
        <v>76227429</v>
      </c>
      <c r="F1460" s="6" t="s">
        <v>4072</v>
      </c>
      <c r="G1460" s="6" t="s">
        <v>4073</v>
      </c>
      <c r="H1460" s="8" t="s">
        <v>4074</v>
      </c>
      <c r="I1460" s="14">
        <v>45296</v>
      </c>
    </row>
    <row r="1461" spans="1:9" x14ac:dyDescent="0.15">
      <c r="A1461" s="5">
        <v>1460</v>
      </c>
      <c r="B1461" s="6" t="s">
        <v>9</v>
      </c>
      <c r="C1461" s="7">
        <v>1882</v>
      </c>
      <c r="D1461" s="8">
        <v>45388</v>
      </c>
      <c r="E1461" s="9" t="str">
        <f>+HYPERLINK("http://trademark.i-assist.jp/data/china/image_1882th/76227459.pdf","76227459")</f>
        <v>76227459</v>
      </c>
      <c r="F1461" s="6" t="s">
        <v>26</v>
      </c>
      <c r="G1461" s="6" t="s">
        <v>3605</v>
      </c>
      <c r="H1461" s="8" t="s">
        <v>4075</v>
      </c>
      <c r="I1461" s="14">
        <v>45296</v>
      </c>
    </row>
    <row r="1462" spans="1:9" x14ac:dyDescent="0.15">
      <c r="A1462" s="5">
        <v>1461</v>
      </c>
      <c r="B1462" s="6" t="s">
        <v>9</v>
      </c>
      <c r="C1462" s="7">
        <v>1882</v>
      </c>
      <c r="D1462" s="8">
        <v>45388</v>
      </c>
      <c r="E1462" s="9" t="str">
        <f>+HYPERLINK("http://trademark.i-assist.jp/data/china/image_1882th/76227475.pdf","76227475")</f>
        <v>76227475</v>
      </c>
      <c r="F1462" s="6" t="s">
        <v>4076</v>
      </c>
      <c r="G1462" s="6" t="s">
        <v>4076</v>
      </c>
      <c r="H1462" s="8" t="s">
        <v>4077</v>
      </c>
      <c r="I1462" s="14">
        <v>45296</v>
      </c>
    </row>
    <row r="1463" spans="1:9" x14ac:dyDescent="0.15">
      <c r="A1463" s="5">
        <v>1462</v>
      </c>
      <c r="B1463" s="6" t="s">
        <v>9</v>
      </c>
      <c r="C1463" s="7">
        <v>1882</v>
      </c>
      <c r="D1463" s="8">
        <v>45388</v>
      </c>
      <c r="E1463" s="9" t="str">
        <f>+HYPERLINK("http://trademark.i-assist.jp/data/china/image_1882th/76227510.pdf","76227510")</f>
        <v>76227510</v>
      </c>
      <c r="F1463" s="6" t="s">
        <v>4078</v>
      </c>
      <c r="G1463" s="6" t="s">
        <v>4079</v>
      </c>
      <c r="H1463" s="8" t="s">
        <v>4080</v>
      </c>
      <c r="I1463" s="14">
        <v>45296</v>
      </c>
    </row>
    <row r="1464" spans="1:9" x14ac:dyDescent="0.15">
      <c r="A1464" s="5">
        <v>1463</v>
      </c>
      <c r="B1464" s="6" t="s">
        <v>9</v>
      </c>
      <c r="C1464" s="7">
        <v>1882</v>
      </c>
      <c r="D1464" s="8">
        <v>45388</v>
      </c>
      <c r="E1464" s="9" t="str">
        <f>+HYPERLINK("http://trademark.i-assist.jp/data/china/image_1882th/76227533.pdf","76227533")</f>
        <v>76227533</v>
      </c>
      <c r="F1464" s="6" t="s">
        <v>4081</v>
      </c>
      <c r="G1464" s="6" t="s">
        <v>4082</v>
      </c>
      <c r="H1464" s="8" t="s">
        <v>4083</v>
      </c>
      <c r="I1464" s="14">
        <v>45296</v>
      </c>
    </row>
    <row r="1465" spans="1:9" x14ac:dyDescent="0.15">
      <c r="A1465" s="5">
        <v>1464</v>
      </c>
      <c r="B1465" s="6" t="s">
        <v>9</v>
      </c>
      <c r="C1465" s="7">
        <v>1882</v>
      </c>
      <c r="D1465" s="8">
        <v>45388</v>
      </c>
      <c r="E1465" s="9" t="str">
        <f>+HYPERLINK("http://trademark.i-assist.jp/data/china/image_1882th/76227607.pdf","76227607")</f>
        <v>76227607</v>
      </c>
      <c r="F1465" s="6" t="s">
        <v>4084</v>
      </c>
      <c r="G1465" s="6" t="s">
        <v>4085</v>
      </c>
      <c r="H1465" s="8" t="s">
        <v>4086</v>
      </c>
      <c r="I1465" s="14">
        <v>45296</v>
      </c>
    </row>
    <row r="1466" spans="1:9" x14ac:dyDescent="0.15">
      <c r="A1466" s="5">
        <v>1465</v>
      </c>
      <c r="B1466" s="6" t="s">
        <v>9</v>
      </c>
      <c r="C1466" s="7">
        <v>1882</v>
      </c>
      <c r="D1466" s="8">
        <v>45388</v>
      </c>
      <c r="E1466" s="9" t="str">
        <f>+HYPERLINK("http://trademark.i-assist.jp/data/china/image_1882th/76227657.pdf","76227657")</f>
        <v>76227657</v>
      </c>
      <c r="F1466" s="6" t="s">
        <v>4087</v>
      </c>
      <c r="G1466" s="6" t="s">
        <v>4088</v>
      </c>
      <c r="H1466" s="8" t="s">
        <v>4089</v>
      </c>
      <c r="I1466" s="14">
        <v>45296</v>
      </c>
    </row>
    <row r="1467" spans="1:9" x14ac:dyDescent="0.15">
      <c r="A1467" s="5">
        <v>1466</v>
      </c>
      <c r="B1467" s="6" t="s">
        <v>9</v>
      </c>
      <c r="C1467" s="7">
        <v>1882</v>
      </c>
      <c r="D1467" s="8">
        <v>45388</v>
      </c>
      <c r="E1467" s="9" t="str">
        <f>+HYPERLINK("http://trademark.i-assist.jp/data/china/image_1882th/76228006.pdf","76228006")</f>
        <v>76228006</v>
      </c>
      <c r="F1467" s="6" t="s">
        <v>4090</v>
      </c>
      <c r="G1467" s="6" t="s">
        <v>4091</v>
      </c>
      <c r="H1467" s="8" t="s">
        <v>4092</v>
      </c>
      <c r="I1467" s="14">
        <v>45296</v>
      </c>
    </row>
    <row r="1468" spans="1:9" x14ac:dyDescent="0.15">
      <c r="A1468" s="5">
        <v>1467</v>
      </c>
      <c r="B1468" s="6" t="s">
        <v>9</v>
      </c>
      <c r="C1468" s="7">
        <v>1882</v>
      </c>
      <c r="D1468" s="8">
        <v>45388</v>
      </c>
      <c r="E1468" s="9" t="str">
        <f>+HYPERLINK("http://trademark.i-assist.jp/data/china/image_1882th/76228066.pdf","76228066")</f>
        <v>76228066</v>
      </c>
      <c r="F1468" s="6" t="s">
        <v>4093</v>
      </c>
      <c r="G1468" s="6" t="s">
        <v>4094</v>
      </c>
      <c r="H1468" s="8" t="s">
        <v>4095</v>
      </c>
      <c r="I1468" s="14">
        <v>45296</v>
      </c>
    </row>
    <row r="1469" spans="1:9" x14ac:dyDescent="0.15">
      <c r="A1469" s="5">
        <v>1468</v>
      </c>
      <c r="B1469" s="6" t="s">
        <v>9</v>
      </c>
      <c r="C1469" s="7">
        <v>1882</v>
      </c>
      <c r="D1469" s="8">
        <v>45388</v>
      </c>
      <c r="E1469" s="9" t="str">
        <f>+HYPERLINK("http://trademark.i-assist.jp/data/china/image_1882th/76228105.pdf","76228105")</f>
        <v>76228105</v>
      </c>
      <c r="F1469" s="6" t="s">
        <v>4096</v>
      </c>
      <c r="G1469" s="6" t="s">
        <v>4097</v>
      </c>
      <c r="H1469" s="8" t="s">
        <v>4098</v>
      </c>
      <c r="I1469" s="14">
        <v>45296</v>
      </c>
    </row>
    <row r="1470" spans="1:9" x14ac:dyDescent="0.15">
      <c r="A1470" s="5">
        <v>1469</v>
      </c>
      <c r="B1470" s="6" t="s">
        <v>9</v>
      </c>
      <c r="C1470" s="7">
        <v>1882</v>
      </c>
      <c r="D1470" s="8">
        <v>45388</v>
      </c>
      <c r="E1470" s="9" t="str">
        <f>+HYPERLINK("http://trademark.i-assist.jp/data/china/image_1882th/76228272.pdf","76228272")</f>
        <v>76228272</v>
      </c>
      <c r="F1470" s="6" t="s">
        <v>4099</v>
      </c>
      <c r="G1470" s="6" t="s">
        <v>3444</v>
      </c>
      <c r="H1470" s="8" t="s">
        <v>4100</v>
      </c>
      <c r="I1470" s="14">
        <v>45296</v>
      </c>
    </row>
    <row r="1471" spans="1:9" x14ac:dyDescent="0.15">
      <c r="A1471" s="5">
        <v>1470</v>
      </c>
      <c r="B1471" s="6" t="s">
        <v>9</v>
      </c>
      <c r="C1471" s="7">
        <v>1882</v>
      </c>
      <c r="D1471" s="8">
        <v>45388</v>
      </c>
      <c r="E1471" s="9" t="str">
        <f>+HYPERLINK("http://trademark.i-assist.jp/data/china/image_1882th/76228521.pdf","76228521")</f>
        <v>76228521</v>
      </c>
      <c r="F1471" s="6" t="s">
        <v>4101</v>
      </c>
      <c r="G1471" s="6" t="s">
        <v>3909</v>
      </c>
      <c r="H1471" s="8" t="s">
        <v>4102</v>
      </c>
      <c r="I1471" s="14">
        <v>45296</v>
      </c>
    </row>
    <row r="1472" spans="1:9" x14ac:dyDescent="0.15">
      <c r="A1472" s="5">
        <v>1471</v>
      </c>
      <c r="B1472" s="6" t="s">
        <v>9</v>
      </c>
      <c r="C1472" s="7">
        <v>1882</v>
      </c>
      <c r="D1472" s="8">
        <v>45388</v>
      </c>
      <c r="E1472" s="9" t="str">
        <f>+HYPERLINK("http://trademark.i-assist.jp/data/china/image_1882th/76228860.pdf","76228860")</f>
        <v>76228860</v>
      </c>
      <c r="F1472" s="6" t="s">
        <v>4103</v>
      </c>
      <c r="G1472" s="6" t="s">
        <v>4104</v>
      </c>
      <c r="H1472" s="8" t="s">
        <v>4105</v>
      </c>
      <c r="I1472" s="14">
        <v>45296</v>
      </c>
    </row>
    <row r="1473" spans="1:9" x14ac:dyDescent="0.15">
      <c r="A1473" s="5">
        <v>1472</v>
      </c>
      <c r="B1473" s="6" t="s">
        <v>9</v>
      </c>
      <c r="C1473" s="7">
        <v>1882</v>
      </c>
      <c r="D1473" s="8">
        <v>45388</v>
      </c>
      <c r="E1473" s="9" t="str">
        <f>+HYPERLINK("http://trademark.i-assist.jp/data/china/image_1882th/76229342.pdf","76229342")</f>
        <v>76229342</v>
      </c>
      <c r="F1473" s="6" t="s">
        <v>4106</v>
      </c>
      <c r="G1473" s="6" t="s">
        <v>4107</v>
      </c>
      <c r="H1473" s="8" t="s">
        <v>4108</v>
      </c>
      <c r="I1473" s="14">
        <v>45296</v>
      </c>
    </row>
    <row r="1474" spans="1:9" x14ac:dyDescent="0.15">
      <c r="A1474" s="5">
        <v>1473</v>
      </c>
      <c r="B1474" s="6" t="s">
        <v>9</v>
      </c>
      <c r="C1474" s="7">
        <v>1882</v>
      </c>
      <c r="D1474" s="8">
        <v>45388</v>
      </c>
      <c r="E1474" s="9" t="str">
        <f>+HYPERLINK("http://trademark.i-assist.jp/data/china/image_1882th/76229512.pdf","76229512")</f>
        <v>76229512</v>
      </c>
      <c r="F1474" s="6" t="s">
        <v>4109</v>
      </c>
      <c r="G1474" s="6" t="s">
        <v>4110</v>
      </c>
      <c r="H1474" s="8" t="s">
        <v>4111</v>
      </c>
      <c r="I1474" s="14">
        <v>45296</v>
      </c>
    </row>
    <row r="1475" spans="1:9" x14ac:dyDescent="0.15">
      <c r="A1475" s="5">
        <v>1474</v>
      </c>
      <c r="B1475" s="6" t="s">
        <v>9</v>
      </c>
      <c r="C1475" s="7">
        <v>1882</v>
      </c>
      <c r="D1475" s="8">
        <v>45388</v>
      </c>
      <c r="E1475" s="9" t="str">
        <f>+HYPERLINK("http://trademark.i-assist.jp/data/china/image_1882th/76229659.pdf","76229659")</f>
        <v>76229659</v>
      </c>
      <c r="F1475" s="6" t="s">
        <v>4112</v>
      </c>
      <c r="G1475" s="6" t="s">
        <v>4113</v>
      </c>
      <c r="H1475" s="8" t="s">
        <v>4114</v>
      </c>
      <c r="I1475" s="14">
        <v>45296</v>
      </c>
    </row>
    <row r="1476" spans="1:9" x14ac:dyDescent="0.15">
      <c r="A1476" s="5">
        <v>1475</v>
      </c>
      <c r="B1476" s="6" t="s">
        <v>9</v>
      </c>
      <c r="C1476" s="7">
        <v>1882</v>
      </c>
      <c r="D1476" s="8">
        <v>45388</v>
      </c>
      <c r="E1476" s="9" t="str">
        <f>+HYPERLINK("http://trademark.i-assist.jp/data/china/image_1882th/76229666.pdf","76229666")</f>
        <v>76229666</v>
      </c>
      <c r="F1476" s="6" t="s">
        <v>4115</v>
      </c>
      <c r="G1476" s="6" t="s">
        <v>4116</v>
      </c>
      <c r="H1476" s="8" t="s">
        <v>4117</v>
      </c>
      <c r="I1476" s="14">
        <v>45296</v>
      </c>
    </row>
    <row r="1477" spans="1:9" x14ac:dyDescent="0.15">
      <c r="A1477" s="5">
        <v>1476</v>
      </c>
      <c r="B1477" s="6" t="s">
        <v>9</v>
      </c>
      <c r="C1477" s="7">
        <v>1882</v>
      </c>
      <c r="D1477" s="8">
        <v>45388</v>
      </c>
      <c r="E1477" s="9" t="str">
        <f>+HYPERLINK("http://trademark.i-assist.jp/data/china/image_1882th/76229761.pdf","76229761")</f>
        <v>76229761</v>
      </c>
      <c r="F1477" s="6" t="s">
        <v>4118</v>
      </c>
      <c r="G1477" s="6" t="s">
        <v>3677</v>
      </c>
      <c r="H1477" s="8" t="s">
        <v>4119</v>
      </c>
      <c r="I1477" s="14">
        <v>45296</v>
      </c>
    </row>
    <row r="1478" spans="1:9" x14ac:dyDescent="0.15">
      <c r="A1478" s="5">
        <v>1477</v>
      </c>
      <c r="B1478" s="6" t="s">
        <v>9</v>
      </c>
      <c r="C1478" s="7">
        <v>1882</v>
      </c>
      <c r="D1478" s="8">
        <v>45388</v>
      </c>
      <c r="E1478" s="9" t="str">
        <f>+HYPERLINK("http://trademark.i-assist.jp/data/china/image_1882th/76230008.pdf","76230008")</f>
        <v>76230008</v>
      </c>
      <c r="F1478" s="6" t="s">
        <v>4120</v>
      </c>
      <c r="G1478" s="6" t="s">
        <v>4121</v>
      </c>
      <c r="H1478" s="8" t="s">
        <v>4122</v>
      </c>
      <c r="I1478" s="14">
        <v>45296</v>
      </c>
    </row>
    <row r="1479" spans="1:9" x14ac:dyDescent="0.15">
      <c r="A1479" s="5">
        <v>1478</v>
      </c>
      <c r="B1479" s="6" t="s">
        <v>9</v>
      </c>
      <c r="C1479" s="7">
        <v>1882</v>
      </c>
      <c r="D1479" s="8">
        <v>45388</v>
      </c>
      <c r="E1479" s="9" t="str">
        <f>+HYPERLINK("http://trademark.i-assist.jp/data/china/image_1882th/76230397.pdf","76230397")</f>
        <v>76230397</v>
      </c>
      <c r="F1479" s="6" t="s">
        <v>4123</v>
      </c>
      <c r="G1479" s="6" t="s">
        <v>284</v>
      </c>
      <c r="H1479" s="8" t="s">
        <v>4124</v>
      </c>
      <c r="I1479" s="14">
        <v>45296</v>
      </c>
    </row>
    <row r="1480" spans="1:9" x14ac:dyDescent="0.15">
      <c r="A1480" s="5">
        <v>1479</v>
      </c>
      <c r="B1480" s="6" t="s">
        <v>9</v>
      </c>
      <c r="C1480" s="7">
        <v>1882</v>
      </c>
      <c r="D1480" s="8">
        <v>45388</v>
      </c>
      <c r="E1480" s="9" t="str">
        <f>+HYPERLINK("http://trademark.i-assist.jp/data/china/image_1882th/76230407.pdf","76230407")</f>
        <v>76230407</v>
      </c>
      <c r="F1480" s="6" t="s">
        <v>4125</v>
      </c>
      <c r="G1480" s="6" t="s">
        <v>3441</v>
      </c>
      <c r="H1480" s="8" t="s">
        <v>4126</v>
      </c>
      <c r="I1480" s="14">
        <v>45296</v>
      </c>
    </row>
    <row r="1481" spans="1:9" x14ac:dyDescent="0.15">
      <c r="A1481" s="5">
        <v>1480</v>
      </c>
      <c r="B1481" s="6" t="s">
        <v>9</v>
      </c>
      <c r="C1481" s="7">
        <v>1882</v>
      </c>
      <c r="D1481" s="8">
        <v>45388</v>
      </c>
      <c r="E1481" s="9" t="str">
        <f>+HYPERLINK("http://trademark.i-assist.jp/data/china/image_1882th/76230542.pdf","76230542")</f>
        <v>76230542</v>
      </c>
      <c r="F1481" s="6" t="s">
        <v>4127</v>
      </c>
      <c r="G1481" s="6" t="s">
        <v>4128</v>
      </c>
      <c r="H1481" s="8" t="s">
        <v>4129</v>
      </c>
      <c r="I1481" s="14">
        <v>45296</v>
      </c>
    </row>
    <row r="1482" spans="1:9" x14ac:dyDescent="0.15">
      <c r="A1482" s="5">
        <v>1481</v>
      </c>
      <c r="B1482" s="6" t="s">
        <v>9</v>
      </c>
      <c r="C1482" s="7">
        <v>1882</v>
      </c>
      <c r="D1482" s="8">
        <v>45388</v>
      </c>
      <c r="E1482" s="9" t="str">
        <f>+HYPERLINK("http://trademark.i-assist.jp/data/china/image_1882th/76230592.pdf","76230592")</f>
        <v>76230592</v>
      </c>
      <c r="F1482" s="6" t="s">
        <v>4130</v>
      </c>
      <c r="G1482" s="6" t="s">
        <v>4131</v>
      </c>
      <c r="H1482" s="8" t="s">
        <v>4132</v>
      </c>
      <c r="I1482" s="14">
        <v>45296</v>
      </c>
    </row>
    <row r="1483" spans="1:9" x14ac:dyDescent="0.15">
      <c r="A1483" s="5">
        <v>1482</v>
      </c>
      <c r="B1483" s="6" t="s">
        <v>9</v>
      </c>
      <c r="C1483" s="7">
        <v>1882</v>
      </c>
      <c r="D1483" s="8">
        <v>45388</v>
      </c>
      <c r="E1483" s="9" t="str">
        <f>+HYPERLINK("http://trademark.i-assist.jp/data/china/image_1882th/76230701.pdf","76230701")</f>
        <v>76230701</v>
      </c>
      <c r="F1483" s="6" t="s">
        <v>4133</v>
      </c>
      <c r="G1483" s="6" t="s">
        <v>4113</v>
      </c>
      <c r="H1483" s="8" t="s">
        <v>4134</v>
      </c>
      <c r="I1483" s="14">
        <v>45297</v>
      </c>
    </row>
    <row r="1484" spans="1:9" x14ac:dyDescent="0.15">
      <c r="A1484" s="5">
        <v>1483</v>
      </c>
      <c r="B1484" s="6" t="s">
        <v>9</v>
      </c>
      <c r="C1484" s="7">
        <v>1882</v>
      </c>
      <c r="D1484" s="8">
        <v>45388</v>
      </c>
      <c r="E1484" s="9" t="str">
        <f>+HYPERLINK("http://trademark.i-assist.jp/data/china/image_1882th/76230995.pdf","76230995")</f>
        <v>76230995</v>
      </c>
      <c r="F1484" s="6" t="s">
        <v>4135</v>
      </c>
      <c r="G1484" s="6" t="s">
        <v>4136</v>
      </c>
      <c r="H1484" s="8" t="s">
        <v>4137</v>
      </c>
      <c r="I1484" s="14">
        <v>45297</v>
      </c>
    </row>
    <row r="1485" spans="1:9" x14ac:dyDescent="0.15">
      <c r="A1485" s="5">
        <v>1484</v>
      </c>
      <c r="B1485" s="6" t="s">
        <v>9</v>
      </c>
      <c r="C1485" s="7">
        <v>1882</v>
      </c>
      <c r="D1485" s="8">
        <v>45388</v>
      </c>
      <c r="E1485" s="9" t="str">
        <f>+HYPERLINK("http://trademark.i-assist.jp/data/china/image_1882th/76231305.pdf","76231305")</f>
        <v>76231305</v>
      </c>
      <c r="F1485" s="6" t="s">
        <v>4138</v>
      </c>
      <c r="G1485" s="6" t="s">
        <v>4139</v>
      </c>
      <c r="H1485" s="8" t="s">
        <v>4140</v>
      </c>
      <c r="I1485" s="14">
        <v>45297</v>
      </c>
    </row>
    <row r="1486" spans="1:9" x14ac:dyDescent="0.15">
      <c r="A1486" s="5">
        <v>1485</v>
      </c>
      <c r="B1486" s="6" t="s">
        <v>9</v>
      </c>
      <c r="C1486" s="7">
        <v>1882</v>
      </c>
      <c r="D1486" s="8">
        <v>45388</v>
      </c>
      <c r="E1486" s="9" t="str">
        <f>+HYPERLINK("http://trademark.i-assist.jp/data/china/image_1882th/76231485.pdf","76231485")</f>
        <v>76231485</v>
      </c>
      <c r="F1486" s="6" t="s">
        <v>4141</v>
      </c>
      <c r="G1486" s="6" t="s">
        <v>4142</v>
      </c>
      <c r="H1486" s="8" t="s">
        <v>4143</v>
      </c>
      <c r="I1486" s="14">
        <v>45297</v>
      </c>
    </row>
    <row r="1487" spans="1:9" x14ac:dyDescent="0.15">
      <c r="A1487" s="5">
        <v>1486</v>
      </c>
      <c r="B1487" s="6" t="s">
        <v>9</v>
      </c>
      <c r="C1487" s="7">
        <v>1882</v>
      </c>
      <c r="D1487" s="8">
        <v>45388</v>
      </c>
      <c r="E1487" s="9" t="str">
        <f>+HYPERLINK("http://trademark.i-assist.jp/data/china/image_1882th/76231538.pdf","76231538")</f>
        <v>76231538</v>
      </c>
      <c r="F1487" s="6" t="s">
        <v>4144</v>
      </c>
      <c r="G1487" s="6" t="s">
        <v>4145</v>
      </c>
      <c r="H1487" s="8" t="s">
        <v>4146</v>
      </c>
      <c r="I1487" s="14">
        <v>45297</v>
      </c>
    </row>
    <row r="1488" spans="1:9" x14ac:dyDescent="0.15">
      <c r="A1488" s="5">
        <v>1487</v>
      </c>
      <c r="B1488" s="6" t="s">
        <v>9</v>
      </c>
      <c r="C1488" s="7">
        <v>1882</v>
      </c>
      <c r="D1488" s="8">
        <v>45388</v>
      </c>
      <c r="E1488" s="9" t="str">
        <f>+HYPERLINK("http://trademark.i-assist.jp/data/china/image_1882th/76231770.pdf","76231770")</f>
        <v>76231770</v>
      </c>
      <c r="F1488" s="6" t="s">
        <v>4147</v>
      </c>
      <c r="G1488" s="6" t="s">
        <v>4148</v>
      </c>
      <c r="H1488" s="8" t="s">
        <v>4149</v>
      </c>
      <c r="I1488" s="14">
        <v>45297</v>
      </c>
    </row>
    <row r="1489" spans="1:9" x14ac:dyDescent="0.15">
      <c r="A1489" s="5">
        <v>1488</v>
      </c>
      <c r="B1489" s="6" t="s">
        <v>9</v>
      </c>
      <c r="C1489" s="7">
        <v>1882</v>
      </c>
      <c r="D1489" s="8">
        <v>45388</v>
      </c>
      <c r="E1489" s="9" t="str">
        <f>+HYPERLINK("http://trademark.i-assist.jp/data/china/image_1882th/76232102.pdf","76232102")</f>
        <v>76232102</v>
      </c>
      <c r="F1489" s="6" t="s">
        <v>4150</v>
      </c>
      <c r="G1489" s="6" t="s">
        <v>4151</v>
      </c>
      <c r="H1489" s="8" t="s">
        <v>4152</v>
      </c>
      <c r="I1489" s="14">
        <v>45297</v>
      </c>
    </row>
    <row r="1490" spans="1:9" x14ac:dyDescent="0.15">
      <c r="A1490" s="5">
        <v>1489</v>
      </c>
      <c r="B1490" s="6" t="s">
        <v>9</v>
      </c>
      <c r="C1490" s="7">
        <v>1882</v>
      </c>
      <c r="D1490" s="8">
        <v>45388</v>
      </c>
      <c r="E1490" s="9" t="str">
        <f>+HYPERLINK("http://trademark.i-assist.jp/data/china/image_1882th/76232349.pdf","76232349")</f>
        <v>76232349</v>
      </c>
      <c r="F1490" s="6" t="s">
        <v>4153</v>
      </c>
      <c r="G1490" s="6" t="s">
        <v>4154</v>
      </c>
      <c r="H1490" s="8" t="s">
        <v>4155</v>
      </c>
      <c r="I1490" s="14">
        <v>45297</v>
      </c>
    </row>
    <row r="1491" spans="1:9" x14ac:dyDescent="0.15">
      <c r="A1491" s="5">
        <v>1490</v>
      </c>
      <c r="B1491" s="6" t="s">
        <v>9</v>
      </c>
      <c r="C1491" s="7">
        <v>1882</v>
      </c>
      <c r="D1491" s="8">
        <v>45388</v>
      </c>
      <c r="E1491" s="9" t="str">
        <f>+HYPERLINK("http://trademark.i-assist.jp/data/china/image_1882th/76232362.pdf","76232362")</f>
        <v>76232362</v>
      </c>
      <c r="F1491" s="6" t="s">
        <v>4156</v>
      </c>
      <c r="G1491" s="6" t="s">
        <v>2391</v>
      </c>
      <c r="H1491" s="8" t="s">
        <v>4157</v>
      </c>
      <c r="I1491" s="14">
        <v>45297</v>
      </c>
    </row>
    <row r="1492" spans="1:9" x14ac:dyDescent="0.15">
      <c r="A1492" s="5">
        <v>1491</v>
      </c>
      <c r="B1492" s="6" t="s">
        <v>9</v>
      </c>
      <c r="C1492" s="7">
        <v>1882</v>
      </c>
      <c r="D1492" s="8">
        <v>45388</v>
      </c>
      <c r="E1492" s="9" t="str">
        <f>+HYPERLINK("http://trademark.i-assist.jp/data/china/image_1882th/76232405.pdf","76232405")</f>
        <v>76232405</v>
      </c>
      <c r="F1492" s="6" t="s">
        <v>4158</v>
      </c>
      <c r="G1492" s="6" t="s">
        <v>4159</v>
      </c>
      <c r="H1492" s="8" t="s">
        <v>4160</v>
      </c>
      <c r="I1492" s="14">
        <v>45297</v>
      </c>
    </row>
    <row r="1493" spans="1:9" x14ac:dyDescent="0.15">
      <c r="A1493" s="5">
        <v>1492</v>
      </c>
      <c r="B1493" s="6" t="s">
        <v>9</v>
      </c>
      <c r="C1493" s="7">
        <v>1882</v>
      </c>
      <c r="D1493" s="8">
        <v>45388</v>
      </c>
      <c r="E1493" s="9" t="str">
        <f>+HYPERLINK("http://trademark.i-assist.jp/data/china/image_1882th/76232715.pdf","76232715")</f>
        <v>76232715</v>
      </c>
      <c r="F1493" s="6" t="s">
        <v>4161</v>
      </c>
      <c r="G1493" s="6" t="s">
        <v>2927</v>
      </c>
      <c r="H1493" s="8" t="s">
        <v>4162</v>
      </c>
      <c r="I1493" s="14">
        <v>45297</v>
      </c>
    </row>
    <row r="1494" spans="1:9" x14ac:dyDescent="0.15">
      <c r="A1494" s="5">
        <v>1493</v>
      </c>
      <c r="B1494" s="6" t="s">
        <v>9</v>
      </c>
      <c r="C1494" s="7">
        <v>1882</v>
      </c>
      <c r="D1494" s="8">
        <v>45388</v>
      </c>
      <c r="E1494" s="9" t="str">
        <f>+HYPERLINK("http://trademark.i-assist.jp/data/china/image_1882th/76232931.pdf","76232931")</f>
        <v>76232931</v>
      </c>
      <c r="F1494" s="6" t="s">
        <v>4163</v>
      </c>
      <c r="G1494" s="6" t="s">
        <v>4164</v>
      </c>
      <c r="H1494" s="8" t="s">
        <v>4165</v>
      </c>
      <c r="I1494" s="14">
        <v>45297</v>
      </c>
    </row>
    <row r="1495" spans="1:9" x14ac:dyDescent="0.15">
      <c r="A1495" s="5">
        <v>1494</v>
      </c>
      <c r="B1495" s="6" t="s">
        <v>9</v>
      </c>
      <c r="C1495" s="7">
        <v>1882</v>
      </c>
      <c r="D1495" s="8">
        <v>45388</v>
      </c>
      <c r="E1495" s="9" t="str">
        <f>+HYPERLINK("http://trademark.i-assist.jp/data/china/image_1882th/76233032.pdf","76233032")</f>
        <v>76233032</v>
      </c>
      <c r="F1495" s="6" t="s">
        <v>4166</v>
      </c>
      <c r="G1495" s="6" t="s">
        <v>4167</v>
      </c>
      <c r="H1495" s="8" t="s">
        <v>4168</v>
      </c>
      <c r="I1495" s="14">
        <v>45297</v>
      </c>
    </row>
    <row r="1496" spans="1:9" x14ac:dyDescent="0.15">
      <c r="A1496" s="5">
        <v>1495</v>
      </c>
      <c r="B1496" s="6" t="s">
        <v>9</v>
      </c>
      <c r="C1496" s="7">
        <v>1882</v>
      </c>
      <c r="D1496" s="8">
        <v>45388</v>
      </c>
      <c r="E1496" s="9" t="str">
        <f>+HYPERLINK("http://trademark.i-assist.jp/data/china/image_1882th/76233063.pdf","76233063")</f>
        <v>76233063</v>
      </c>
      <c r="F1496" s="6" t="s">
        <v>4169</v>
      </c>
      <c r="G1496" s="6" t="s">
        <v>4170</v>
      </c>
      <c r="H1496" s="8" t="s">
        <v>4171</v>
      </c>
      <c r="I1496" s="14">
        <v>45297</v>
      </c>
    </row>
    <row r="1497" spans="1:9" x14ac:dyDescent="0.15">
      <c r="A1497" s="5">
        <v>1496</v>
      </c>
      <c r="B1497" s="6" t="s">
        <v>9</v>
      </c>
      <c r="C1497" s="7">
        <v>1882</v>
      </c>
      <c r="D1497" s="8">
        <v>45388</v>
      </c>
      <c r="E1497" s="9" t="str">
        <f>+HYPERLINK("http://trademark.i-assist.jp/data/china/image_1882th/76233183.pdf","76233183")</f>
        <v>76233183</v>
      </c>
      <c r="F1497" s="6" t="s">
        <v>4172</v>
      </c>
      <c r="G1497" s="6" t="s">
        <v>4173</v>
      </c>
      <c r="H1497" s="8" t="s">
        <v>4174</v>
      </c>
      <c r="I1497" s="14">
        <v>45297</v>
      </c>
    </row>
    <row r="1498" spans="1:9" x14ac:dyDescent="0.15">
      <c r="A1498" s="5">
        <v>1497</v>
      </c>
      <c r="B1498" s="6" t="s">
        <v>9</v>
      </c>
      <c r="C1498" s="7">
        <v>1882</v>
      </c>
      <c r="D1498" s="8">
        <v>45388</v>
      </c>
      <c r="E1498" s="9" t="str">
        <f>+HYPERLINK("http://trademark.i-assist.jp/data/china/image_1882th/76233195.pdf","76233195")</f>
        <v>76233195</v>
      </c>
      <c r="F1498" s="6" t="s">
        <v>4175</v>
      </c>
      <c r="G1498" s="6" t="s">
        <v>4176</v>
      </c>
      <c r="H1498" s="8" t="s">
        <v>4177</v>
      </c>
      <c r="I1498" s="14">
        <v>45297</v>
      </c>
    </row>
    <row r="1499" spans="1:9" x14ac:dyDescent="0.15">
      <c r="A1499" s="5">
        <v>1498</v>
      </c>
      <c r="B1499" s="6" t="s">
        <v>9</v>
      </c>
      <c r="C1499" s="7">
        <v>1882</v>
      </c>
      <c r="D1499" s="8">
        <v>45388</v>
      </c>
      <c r="E1499" s="9" t="str">
        <f>+HYPERLINK("http://trademark.i-assist.jp/data/china/image_1882th/76233208.pdf","76233208")</f>
        <v>76233208</v>
      </c>
      <c r="F1499" s="6" t="s">
        <v>4178</v>
      </c>
      <c r="G1499" s="6" t="s">
        <v>4179</v>
      </c>
      <c r="H1499" s="8" t="s">
        <v>4180</v>
      </c>
      <c r="I1499" s="14">
        <v>45297</v>
      </c>
    </row>
    <row r="1500" spans="1:9" x14ac:dyDescent="0.15">
      <c r="A1500" s="5">
        <v>1499</v>
      </c>
      <c r="B1500" s="6" t="s">
        <v>9</v>
      </c>
      <c r="C1500" s="7">
        <v>1882</v>
      </c>
      <c r="D1500" s="8">
        <v>45388</v>
      </c>
      <c r="E1500" s="9" t="str">
        <f>+HYPERLINK("http://trademark.i-assist.jp/data/china/image_1882th/76233212.pdf","76233212")</f>
        <v>76233212</v>
      </c>
      <c r="F1500" s="6" t="s">
        <v>4181</v>
      </c>
      <c r="G1500" s="6" t="s">
        <v>3783</v>
      </c>
      <c r="H1500" s="8" t="s">
        <v>4182</v>
      </c>
      <c r="I1500" s="14">
        <v>45297</v>
      </c>
    </row>
    <row r="1501" spans="1:9" x14ac:dyDescent="0.15">
      <c r="A1501" s="5">
        <v>1500</v>
      </c>
      <c r="B1501" s="6" t="s">
        <v>9</v>
      </c>
      <c r="C1501" s="7">
        <v>1882</v>
      </c>
      <c r="D1501" s="8">
        <v>45388</v>
      </c>
      <c r="E1501" s="9" t="str">
        <f>+HYPERLINK("http://trademark.i-assist.jp/data/china/image_1882th/76233257.pdf","76233257")</f>
        <v>76233257</v>
      </c>
      <c r="F1501" s="6" t="s">
        <v>4183</v>
      </c>
      <c r="G1501" s="6" t="s">
        <v>4184</v>
      </c>
      <c r="H1501" s="8" t="s">
        <v>4185</v>
      </c>
      <c r="I1501" s="14">
        <v>45297</v>
      </c>
    </row>
    <row r="1502" spans="1:9" x14ac:dyDescent="0.15">
      <c r="A1502" s="5">
        <v>1501</v>
      </c>
      <c r="B1502" s="6" t="s">
        <v>9</v>
      </c>
      <c r="C1502" s="7">
        <v>1882</v>
      </c>
      <c r="D1502" s="8">
        <v>45388</v>
      </c>
      <c r="E1502" s="9" t="str">
        <f>+HYPERLINK("http://trademark.i-assist.jp/data/china/image_1882th/76233526.pdf","76233526")</f>
        <v>76233526</v>
      </c>
      <c r="F1502" s="6" t="s">
        <v>4186</v>
      </c>
      <c r="G1502" s="6" t="s">
        <v>4187</v>
      </c>
      <c r="H1502" s="8" t="s">
        <v>4188</v>
      </c>
      <c r="I1502" s="14">
        <v>45297</v>
      </c>
    </row>
    <row r="1503" spans="1:9" x14ac:dyDescent="0.15">
      <c r="A1503" s="5">
        <v>1502</v>
      </c>
      <c r="B1503" s="6" t="s">
        <v>9</v>
      </c>
      <c r="C1503" s="7">
        <v>1882</v>
      </c>
      <c r="D1503" s="8">
        <v>45388</v>
      </c>
      <c r="E1503" s="9" t="str">
        <f>+HYPERLINK("http://trademark.i-assist.jp/data/china/image_1882th/76233702.pdf","76233702")</f>
        <v>76233702</v>
      </c>
      <c r="F1503" s="6" t="s">
        <v>26</v>
      </c>
      <c r="G1503" s="6" t="s">
        <v>4189</v>
      </c>
      <c r="H1503" s="8" t="s">
        <v>4190</v>
      </c>
      <c r="I1503" s="14">
        <v>45297</v>
      </c>
    </row>
    <row r="1504" spans="1:9" x14ac:dyDescent="0.15">
      <c r="A1504" s="5">
        <v>1503</v>
      </c>
      <c r="B1504" s="6" t="s">
        <v>9</v>
      </c>
      <c r="C1504" s="7">
        <v>1882</v>
      </c>
      <c r="D1504" s="8">
        <v>45388</v>
      </c>
      <c r="E1504" s="9" t="str">
        <f>+HYPERLINK("http://trademark.i-assist.jp/data/china/image_1882th/76233888.pdf","76233888")</f>
        <v>76233888</v>
      </c>
      <c r="F1504" s="6" t="s">
        <v>4191</v>
      </c>
      <c r="G1504" s="6" t="s">
        <v>4192</v>
      </c>
      <c r="H1504" s="8" t="s">
        <v>4193</v>
      </c>
      <c r="I1504" s="14">
        <v>45297</v>
      </c>
    </row>
    <row r="1505" spans="1:9" x14ac:dyDescent="0.15">
      <c r="A1505" s="5">
        <v>1504</v>
      </c>
      <c r="B1505" s="6" t="s">
        <v>9</v>
      </c>
      <c r="C1505" s="7">
        <v>1882</v>
      </c>
      <c r="D1505" s="8">
        <v>45388</v>
      </c>
      <c r="E1505" s="9" t="str">
        <f>+HYPERLINK("http://trademark.i-assist.jp/data/china/image_1882th/76233935.pdf","76233935")</f>
        <v>76233935</v>
      </c>
      <c r="F1505" s="6" t="s">
        <v>4194</v>
      </c>
      <c r="G1505" s="6" t="s">
        <v>4195</v>
      </c>
      <c r="H1505" s="8" t="s">
        <v>4196</v>
      </c>
      <c r="I1505" s="14">
        <v>45297</v>
      </c>
    </row>
    <row r="1506" spans="1:9" x14ac:dyDescent="0.15">
      <c r="A1506" s="5">
        <v>1505</v>
      </c>
      <c r="B1506" s="6" t="s">
        <v>9</v>
      </c>
      <c r="C1506" s="7">
        <v>1882</v>
      </c>
      <c r="D1506" s="8">
        <v>45388</v>
      </c>
      <c r="E1506" s="9" t="str">
        <f>+HYPERLINK("http://trademark.i-assist.jp/data/china/image_1882th/76234008.pdf","76234008")</f>
        <v>76234008</v>
      </c>
      <c r="F1506" s="6" t="s">
        <v>4197</v>
      </c>
      <c r="G1506" s="6" t="s">
        <v>4198</v>
      </c>
      <c r="H1506" s="8" t="s">
        <v>4199</v>
      </c>
      <c r="I1506" s="14">
        <v>45297</v>
      </c>
    </row>
    <row r="1507" spans="1:9" x14ac:dyDescent="0.15">
      <c r="A1507" s="5">
        <v>1506</v>
      </c>
      <c r="B1507" s="6" t="s">
        <v>9</v>
      </c>
      <c r="C1507" s="7">
        <v>1882</v>
      </c>
      <c r="D1507" s="8">
        <v>45388</v>
      </c>
      <c r="E1507" s="9" t="str">
        <f>+HYPERLINK("http://trademark.i-assist.jp/data/china/image_1882th/76234012.pdf","76234012")</f>
        <v>76234012</v>
      </c>
      <c r="F1507" s="6" t="s">
        <v>4200</v>
      </c>
      <c r="G1507" s="6" t="s">
        <v>4198</v>
      </c>
      <c r="H1507" s="8" t="s">
        <v>4201</v>
      </c>
      <c r="I1507" s="14">
        <v>45297</v>
      </c>
    </row>
    <row r="1508" spans="1:9" x14ac:dyDescent="0.15">
      <c r="A1508" s="5">
        <v>1507</v>
      </c>
      <c r="B1508" s="6" t="s">
        <v>9</v>
      </c>
      <c r="C1508" s="7">
        <v>1882</v>
      </c>
      <c r="D1508" s="8">
        <v>45388</v>
      </c>
      <c r="E1508" s="9" t="str">
        <f>+HYPERLINK("http://trademark.i-assist.jp/data/china/image_1882th/76234138.pdf","76234138")</f>
        <v>76234138</v>
      </c>
      <c r="F1508" s="6" t="s">
        <v>4202</v>
      </c>
      <c r="G1508" s="6" t="s">
        <v>4203</v>
      </c>
      <c r="H1508" s="8" t="s">
        <v>4204</v>
      </c>
      <c r="I1508" s="14">
        <v>45297</v>
      </c>
    </row>
    <row r="1509" spans="1:9" x14ac:dyDescent="0.15">
      <c r="A1509" s="5">
        <v>1508</v>
      </c>
      <c r="B1509" s="6" t="s">
        <v>9</v>
      </c>
      <c r="C1509" s="7">
        <v>1882</v>
      </c>
      <c r="D1509" s="8">
        <v>45388</v>
      </c>
      <c r="E1509" s="9" t="str">
        <f>+HYPERLINK("http://trademark.i-assist.jp/data/china/image_1882th/76234153.pdf","76234153")</f>
        <v>76234153</v>
      </c>
      <c r="F1509" s="6" t="s">
        <v>4205</v>
      </c>
      <c r="G1509" s="6" t="s">
        <v>4206</v>
      </c>
      <c r="H1509" s="8" t="s">
        <v>4207</v>
      </c>
      <c r="I1509" s="14">
        <v>45297</v>
      </c>
    </row>
    <row r="1510" spans="1:9" x14ac:dyDescent="0.15">
      <c r="A1510" s="5">
        <v>1509</v>
      </c>
      <c r="B1510" s="6" t="s">
        <v>9</v>
      </c>
      <c r="C1510" s="7">
        <v>1882</v>
      </c>
      <c r="D1510" s="8">
        <v>45388</v>
      </c>
      <c r="E1510" s="9" t="str">
        <f>+HYPERLINK("http://trademark.i-assist.jp/data/china/image_1882th/76234200.pdf","76234200")</f>
        <v>76234200</v>
      </c>
      <c r="F1510" s="6" t="s">
        <v>4208</v>
      </c>
      <c r="G1510" s="6" t="s">
        <v>4209</v>
      </c>
      <c r="H1510" s="8" t="s">
        <v>4210</v>
      </c>
      <c r="I1510" s="14">
        <v>45297</v>
      </c>
    </row>
    <row r="1511" spans="1:9" x14ac:dyDescent="0.15">
      <c r="A1511" s="5">
        <v>1510</v>
      </c>
      <c r="B1511" s="6" t="s">
        <v>9</v>
      </c>
      <c r="C1511" s="7">
        <v>1882</v>
      </c>
      <c r="D1511" s="8">
        <v>45388</v>
      </c>
      <c r="E1511" s="9" t="str">
        <f>+HYPERLINK("http://trademark.i-assist.jp/data/china/image_1882th/76234400.pdf","76234400")</f>
        <v>76234400</v>
      </c>
      <c r="F1511" s="6" t="s">
        <v>4211</v>
      </c>
      <c r="G1511" s="6" t="s">
        <v>4212</v>
      </c>
      <c r="H1511" s="8" t="s">
        <v>4213</v>
      </c>
      <c r="I1511" s="14">
        <v>45297</v>
      </c>
    </row>
    <row r="1512" spans="1:9" x14ac:dyDescent="0.15">
      <c r="A1512" s="5">
        <v>1511</v>
      </c>
      <c r="B1512" s="6" t="s">
        <v>9</v>
      </c>
      <c r="C1512" s="7">
        <v>1882</v>
      </c>
      <c r="D1512" s="8">
        <v>45388</v>
      </c>
      <c r="E1512" s="9" t="str">
        <f>+HYPERLINK("http://trademark.i-assist.jp/data/china/image_1882th/76234403.pdf","76234403")</f>
        <v>76234403</v>
      </c>
      <c r="F1512" s="6" t="s">
        <v>4214</v>
      </c>
      <c r="G1512" s="6" t="s">
        <v>4212</v>
      </c>
      <c r="H1512" s="8" t="s">
        <v>4215</v>
      </c>
      <c r="I1512" s="14">
        <v>45297</v>
      </c>
    </row>
    <row r="1513" spans="1:9" x14ac:dyDescent="0.15">
      <c r="A1513" s="5">
        <v>1512</v>
      </c>
      <c r="B1513" s="6" t="s">
        <v>9</v>
      </c>
      <c r="C1513" s="7">
        <v>1882</v>
      </c>
      <c r="D1513" s="8">
        <v>45388</v>
      </c>
      <c r="E1513" s="9" t="str">
        <f>+HYPERLINK("http://trademark.i-assist.jp/data/china/image_1882th/76234419.pdf","76234419")</f>
        <v>76234419</v>
      </c>
      <c r="F1513" s="6" t="s">
        <v>4216</v>
      </c>
      <c r="G1513" s="6" t="s">
        <v>4179</v>
      </c>
      <c r="H1513" s="8" t="s">
        <v>4217</v>
      </c>
      <c r="I1513" s="14">
        <v>45297</v>
      </c>
    </row>
    <row r="1514" spans="1:9" x14ac:dyDescent="0.15">
      <c r="A1514" s="5">
        <v>1513</v>
      </c>
      <c r="B1514" s="6" t="s">
        <v>9</v>
      </c>
      <c r="C1514" s="7">
        <v>1882</v>
      </c>
      <c r="D1514" s="8">
        <v>45388</v>
      </c>
      <c r="E1514" s="9" t="str">
        <f>+HYPERLINK("http://trademark.i-assist.jp/data/china/image_1882th/76234637.pdf","76234637")</f>
        <v>76234637</v>
      </c>
      <c r="F1514" s="6" t="s">
        <v>4218</v>
      </c>
      <c r="G1514" s="6" t="s">
        <v>4219</v>
      </c>
      <c r="H1514" s="8" t="s">
        <v>4220</v>
      </c>
      <c r="I1514" s="14">
        <v>45297</v>
      </c>
    </row>
    <row r="1515" spans="1:9" x14ac:dyDescent="0.15">
      <c r="A1515" s="5">
        <v>1514</v>
      </c>
      <c r="B1515" s="6" t="s">
        <v>9</v>
      </c>
      <c r="C1515" s="7">
        <v>1882</v>
      </c>
      <c r="D1515" s="8">
        <v>45388</v>
      </c>
      <c r="E1515" s="9" t="str">
        <f>+HYPERLINK("http://trademark.i-assist.jp/data/china/image_1882th/76234935.pdf","76234935")</f>
        <v>76234935</v>
      </c>
      <c r="F1515" s="6" t="s">
        <v>4221</v>
      </c>
      <c r="G1515" s="6" t="s">
        <v>857</v>
      </c>
      <c r="H1515" s="8" t="s">
        <v>4222</v>
      </c>
      <c r="I1515" s="14">
        <v>45297</v>
      </c>
    </row>
    <row r="1516" spans="1:9" x14ac:dyDescent="0.15">
      <c r="A1516" s="5">
        <v>1515</v>
      </c>
      <c r="B1516" s="6" t="s">
        <v>9</v>
      </c>
      <c r="C1516" s="7">
        <v>1882</v>
      </c>
      <c r="D1516" s="8">
        <v>45388</v>
      </c>
      <c r="E1516" s="9" t="str">
        <f>+HYPERLINK("http://trademark.i-assist.jp/data/china/image_1882th/76235010.pdf","76235010")</f>
        <v>76235010</v>
      </c>
      <c r="F1516" s="6" t="s">
        <v>4223</v>
      </c>
      <c r="G1516" s="6" t="s">
        <v>4224</v>
      </c>
      <c r="H1516" s="8" t="s">
        <v>4225</v>
      </c>
      <c r="I1516" s="14">
        <v>45297</v>
      </c>
    </row>
    <row r="1517" spans="1:9" x14ac:dyDescent="0.15">
      <c r="A1517" s="5">
        <v>1516</v>
      </c>
      <c r="B1517" s="6" t="s">
        <v>9</v>
      </c>
      <c r="C1517" s="7">
        <v>1882</v>
      </c>
      <c r="D1517" s="8">
        <v>45388</v>
      </c>
      <c r="E1517" s="9" t="str">
        <f>+HYPERLINK("http://trademark.i-assist.jp/data/china/image_1882th/76235090.pdf","76235090")</f>
        <v>76235090</v>
      </c>
      <c r="F1517" s="6" t="s">
        <v>4226</v>
      </c>
      <c r="G1517" s="6" t="s">
        <v>4094</v>
      </c>
      <c r="H1517" s="8" t="s">
        <v>4227</v>
      </c>
      <c r="I1517" s="14">
        <v>45297</v>
      </c>
    </row>
    <row r="1518" spans="1:9" x14ac:dyDescent="0.15">
      <c r="A1518" s="5">
        <v>1517</v>
      </c>
      <c r="B1518" s="6" t="s">
        <v>9</v>
      </c>
      <c r="C1518" s="7">
        <v>1882</v>
      </c>
      <c r="D1518" s="8">
        <v>45388</v>
      </c>
      <c r="E1518" s="9" t="str">
        <f>+HYPERLINK("http://trademark.i-assist.jp/data/china/image_1882th/76235110.pdf","76235110")</f>
        <v>76235110</v>
      </c>
      <c r="F1518" s="6" t="s">
        <v>4228</v>
      </c>
      <c r="G1518" s="6" t="s">
        <v>4198</v>
      </c>
      <c r="H1518" s="8" t="s">
        <v>4229</v>
      </c>
      <c r="I1518" s="14">
        <v>45297</v>
      </c>
    </row>
    <row r="1519" spans="1:9" x14ac:dyDescent="0.15">
      <c r="A1519" s="5">
        <v>1518</v>
      </c>
      <c r="B1519" s="6" t="s">
        <v>9</v>
      </c>
      <c r="C1519" s="7">
        <v>1882</v>
      </c>
      <c r="D1519" s="8">
        <v>45388</v>
      </c>
      <c r="E1519" s="9" t="str">
        <f>+HYPERLINK("http://trademark.i-assist.jp/data/china/image_1882th/76235430.pdf","76235430")</f>
        <v>76235430</v>
      </c>
      <c r="F1519" s="6" t="s">
        <v>4230</v>
      </c>
      <c r="G1519" s="6" t="s">
        <v>4231</v>
      </c>
      <c r="H1519" s="8" t="s">
        <v>4232</v>
      </c>
      <c r="I1519" s="14">
        <v>45297</v>
      </c>
    </row>
    <row r="1520" spans="1:9" x14ac:dyDescent="0.15">
      <c r="A1520" s="5">
        <v>1519</v>
      </c>
      <c r="B1520" s="6" t="s">
        <v>9</v>
      </c>
      <c r="C1520" s="7">
        <v>1882</v>
      </c>
      <c r="D1520" s="8">
        <v>45388</v>
      </c>
      <c r="E1520" s="9" t="str">
        <f>+HYPERLINK("http://trademark.i-assist.jp/data/china/image_1882th/76235531.pdf","76235531")</f>
        <v>76235531</v>
      </c>
      <c r="F1520" s="6" t="s">
        <v>4233</v>
      </c>
      <c r="G1520" s="6" t="s">
        <v>4234</v>
      </c>
      <c r="H1520" s="8" t="s">
        <v>4235</v>
      </c>
      <c r="I1520" s="14">
        <v>45297</v>
      </c>
    </row>
    <row r="1521" spans="1:9" x14ac:dyDescent="0.15">
      <c r="A1521" s="5">
        <v>1520</v>
      </c>
      <c r="B1521" s="6" t="s">
        <v>9</v>
      </c>
      <c r="C1521" s="7">
        <v>1882</v>
      </c>
      <c r="D1521" s="8">
        <v>45388</v>
      </c>
      <c r="E1521" s="9" t="str">
        <f>+HYPERLINK("http://trademark.i-assist.jp/data/china/image_1882th/76235789.pdf","76235789")</f>
        <v>76235789</v>
      </c>
      <c r="F1521" s="6" t="s">
        <v>4236</v>
      </c>
      <c r="G1521" s="6" t="s">
        <v>4198</v>
      </c>
      <c r="H1521" s="8" t="s">
        <v>4237</v>
      </c>
      <c r="I1521" s="14">
        <v>45297</v>
      </c>
    </row>
    <row r="1522" spans="1:9" x14ac:dyDescent="0.15">
      <c r="A1522" s="5">
        <v>1521</v>
      </c>
      <c r="B1522" s="6" t="s">
        <v>9</v>
      </c>
      <c r="C1522" s="7">
        <v>1882</v>
      </c>
      <c r="D1522" s="8">
        <v>45388</v>
      </c>
      <c r="E1522" s="9" t="str">
        <f>+HYPERLINK("http://trademark.i-assist.jp/data/china/image_1882th/76235993.pdf","76235993")</f>
        <v>76235993</v>
      </c>
      <c r="F1522" s="6" t="s">
        <v>4238</v>
      </c>
      <c r="G1522" s="6" t="s">
        <v>4239</v>
      </c>
      <c r="H1522" s="8" t="s">
        <v>4240</v>
      </c>
      <c r="I1522" s="14">
        <v>45297</v>
      </c>
    </row>
    <row r="1523" spans="1:9" x14ac:dyDescent="0.15">
      <c r="A1523" s="5">
        <v>1522</v>
      </c>
      <c r="B1523" s="6" t="s">
        <v>9</v>
      </c>
      <c r="C1523" s="7">
        <v>1882</v>
      </c>
      <c r="D1523" s="8">
        <v>45388</v>
      </c>
      <c r="E1523" s="9" t="str">
        <f>+HYPERLINK("http://trademark.i-assist.jp/data/china/image_1882th/76236049.pdf","76236049")</f>
        <v>76236049</v>
      </c>
      <c r="F1523" s="6" t="s">
        <v>4241</v>
      </c>
      <c r="G1523" s="6" t="s">
        <v>4242</v>
      </c>
      <c r="H1523" s="8" t="s">
        <v>4243</v>
      </c>
      <c r="I1523" s="14">
        <v>45297</v>
      </c>
    </row>
    <row r="1524" spans="1:9" x14ac:dyDescent="0.15">
      <c r="A1524" s="5">
        <v>1523</v>
      </c>
      <c r="B1524" s="6" t="s">
        <v>9</v>
      </c>
      <c r="C1524" s="7">
        <v>1882</v>
      </c>
      <c r="D1524" s="8">
        <v>45388</v>
      </c>
      <c r="E1524" s="9" t="str">
        <f>+HYPERLINK("http://trademark.i-assist.jp/data/china/image_1882th/76236052.pdf","76236052")</f>
        <v>76236052</v>
      </c>
      <c r="F1524" s="6" t="s">
        <v>4244</v>
      </c>
      <c r="G1524" s="6" t="s">
        <v>4242</v>
      </c>
      <c r="H1524" s="8" t="s">
        <v>4245</v>
      </c>
      <c r="I1524" s="14">
        <v>45297</v>
      </c>
    </row>
    <row r="1525" spans="1:9" x14ac:dyDescent="0.15">
      <c r="A1525" s="5">
        <v>1524</v>
      </c>
      <c r="B1525" s="6" t="s">
        <v>9</v>
      </c>
      <c r="C1525" s="7">
        <v>1882</v>
      </c>
      <c r="D1525" s="8">
        <v>45388</v>
      </c>
      <c r="E1525" s="9" t="str">
        <f>+HYPERLINK("http://trademark.i-assist.jp/data/china/image_1882th/76236151.pdf","76236151")</f>
        <v>76236151</v>
      </c>
      <c r="F1525" s="6" t="s">
        <v>4246</v>
      </c>
      <c r="G1525" s="6" t="s">
        <v>4247</v>
      </c>
      <c r="H1525" s="8" t="s">
        <v>4248</v>
      </c>
      <c r="I1525" s="14">
        <v>45297</v>
      </c>
    </row>
    <row r="1526" spans="1:9" x14ac:dyDescent="0.15">
      <c r="A1526" s="5">
        <v>1525</v>
      </c>
      <c r="B1526" s="6" t="s">
        <v>9</v>
      </c>
      <c r="C1526" s="7">
        <v>1882</v>
      </c>
      <c r="D1526" s="8">
        <v>45388</v>
      </c>
      <c r="E1526" s="9" t="str">
        <f>+HYPERLINK("http://trademark.i-assist.jp/data/china/image_1882th/76236244.pdf","76236244")</f>
        <v>76236244</v>
      </c>
      <c r="F1526" s="6" t="s">
        <v>4249</v>
      </c>
      <c r="G1526" s="6" t="s">
        <v>4250</v>
      </c>
      <c r="H1526" s="8" t="s">
        <v>4251</v>
      </c>
      <c r="I1526" s="14">
        <v>45297</v>
      </c>
    </row>
    <row r="1527" spans="1:9" x14ac:dyDescent="0.15">
      <c r="A1527" s="5">
        <v>1526</v>
      </c>
      <c r="B1527" s="6" t="s">
        <v>9</v>
      </c>
      <c r="C1527" s="7">
        <v>1882</v>
      </c>
      <c r="D1527" s="8">
        <v>45388</v>
      </c>
      <c r="E1527" s="9" t="str">
        <f>+HYPERLINK("http://trademark.i-assist.jp/data/china/image_1882th/76236579.pdf","76236579")</f>
        <v>76236579</v>
      </c>
      <c r="F1527" s="6" t="s">
        <v>4252</v>
      </c>
      <c r="G1527" s="6" t="s">
        <v>4253</v>
      </c>
      <c r="H1527" s="8" t="s">
        <v>4254</v>
      </c>
      <c r="I1527" s="14">
        <v>45297</v>
      </c>
    </row>
    <row r="1528" spans="1:9" x14ac:dyDescent="0.15">
      <c r="A1528" s="5">
        <v>1527</v>
      </c>
      <c r="B1528" s="6" t="s">
        <v>9</v>
      </c>
      <c r="C1528" s="7">
        <v>1882</v>
      </c>
      <c r="D1528" s="8">
        <v>45388</v>
      </c>
      <c r="E1528" s="9" t="str">
        <f>+HYPERLINK("http://trademark.i-assist.jp/data/china/image_1882th/76236773.pdf","76236773")</f>
        <v>76236773</v>
      </c>
      <c r="F1528" s="6" t="s">
        <v>4255</v>
      </c>
      <c r="G1528" s="6" t="s">
        <v>4242</v>
      </c>
      <c r="H1528" s="8" t="s">
        <v>4256</v>
      </c>
      <c r="I1528" s="14">
        <v>45297</v>
      </c>
    </row>
    <row r="1529" spans="1:9" x14ac:dyDescent="0.15">
      <c r="A1529" s="5">
        <v>1528</v>
      </c>
      <c r="B1529" s="6" t="s">
        <v>9</v>
      </c>
      <c r="C1529" s="7">
        <v>1882</v>
      </c>
      <c r="D1529" s="8">
        <v>45388</v>
      </c>
      <c r="E1529" s="9" t="str">
        <f>+HYPERLINK("http://trademark.i-assist.jp/data/china/image_1882th/76236789.pdf","76236789")</f>
        <v>76236789</v>
      </c>
      <c r="F1529" s="6" t="s">
        <v>4257</v>
      </c>
      <c r="G1529" s="6" t="s">
        <v>4224</v>
      </c>
      <c r="H1529" s="8" t="s">
        <v>4258</v>
      </c>
      <c r="I1529" s="14">
        <v>45297</v>
      </c>
    </row>
    <row r="1530" spans="1:9" x14ac:dyDescent="0.15">
      <c r="A1530" s="5">
        <v>1529</v>
      </c>
      <c r="B1530" s="6" t="s">
        <v>9</v>
      </c>
      <c r="C1530" s="7">
        <v>1882</v>
      </c>
      <c r="D1530" s="8">
        <v>45388</v>
      </c>
      <c r="E1530" s="9" t="str">
        <f>+HYPERLINK("http://trademark.i-assist.jp/data/china/image_1882th/76236807.pdf","76236807")</f>
        <v>76236807</v>
      </c>
      <c r="F1530" s="6" t="s">
        <v>4259</v>
      </c>
      <c r="G1530" s="6" t="s">
        <v>4260</v>
      </c>
      <c r="H1530" s="8" t="s">
        <v>4261</v>
      </c>
      <c r="I1530" s="14">
        <v>45297</v>
      </c>
    </row>
    <row r="1531" spans="1:9" x14ac:dyDescent="0.15">
      <c r="A1531" s="5">
        <v>1530</v>
      </c>
      <c r="B1531" s="6" t="s">
        <v>9</v>
      </c>
      <c r="C1531" s="7">
        <v>1882</v>
      </c>
      <c r="D1531" s="8">
        <v>45388</v>
      </c>
      <c r="E1531" s="9" t="str">
        <f>+HYPERLINK("http://trademark.i-assist.jp/data/china/image_1882th/76236916.pdf","76236916")</f>
        <v>76236916</v>
      </c>
      <c r="F1531" s="6" t="s">
        <v>4262</v>
      </c>
      <c r="G1531" s="6" t="s">
        <v>4263</v>
      </c>
      <c r="H1531" s="8" t="s">
        <v>4264</v>
      </c>
      <c r="I1531" s="14">
        <v>45297</v>
      </c>
    </row>
    <row r="1532" spans="1:9" x14ac:dyDescent="0.15">
      <c r="A1532" s="5">
        <v>1531</v>
      </c>
      <c r="B1532" s="6" t="s">
        <v>9</v>
      </c>
      <c r="C1532" s="7">
        <v>1882</v>
      </c>
      <c r="D1532" s="8">
        <v>45388</v>
      </c>
      <c r="E1532" s="9" t="str">
        <f>+HYPERLINK("http://trademark.i-assist.jp/data/china/image_1882th/76237119.pdf","76237119")</f>
        <v>76237119</v>
      </c>
      <c r="F1532" s="6" t="s">
        <v>4265</v>
      </c>
      <c r="G1532" s="6" t="s">
        <v>4266</v>
      </c>
      <c r="H1532" s="8" t="s">
        <v>4267</v>
      </c>
      <c r="I1532" s="14">
        <v>45297</v>
      </c>
    </row>
    <row r="1533" spans="1:9" x14ac:dyDescent="0.15">
      <c r="A1533" s="5">
        <v>1532</v>
      </c>
      <c r="B1533" s="6" t="s">
        <v>9</v>
      </c>
      <c r="C1533" s="7">
        <v>1882</v>
      </c>
      <c r="D1533" s="8">
        <v>45388</v>
      </c>
      <c r="E1533" s="9" t="str">
        <f>+HYPERLINK("http://trademark.i-assist.jp/data/china/image_1882th/76237229.pdf","76237229")</f>
        <v>76237229</v>
      </c>
      <c r="F1533" s="6" t="s">
        <v>3237</v>
      </c>
      <c r="G1533" s="6" t="s">
        <v>3238</v>
      </c>
      <c r="H1533" s="8" t="s">
        <v>4268</v>
      </c>
      <c r="I1533" s="14">
        <v>45295</v>
      </c>
    </row>
    <row r="1534" spans="1:9" x14ac:dyDescent="0.15">
      <c r="A1534" s="5">
        <v>1533</v>
      </c>
      <c r="B1534" s="6" t="s">
        <v>9</v>
      </c>
      <c r="C1534" s="7">
        <v>1882</v>
      </c>
      <c r="D1534" s="8">
        <v>45388</v>
      </c>
      <c r="E1534" s="9" t="str">
        <f>+HYPERLINK("http://trademark.i-assist.jp/data/china/image_1882th/76237312.pdf","76237312")</f>
        <v>76237312</v>
      </c>
      <c r="F1534" s="6" t="s">
        <v>4269</v>
      </c>
      <c r="G1534" s="6" t="s">
        <v>4270</v>
      </c>
      <c r="H1534" s="8" t="s">
        <v>4271</v>
      </c>
      <c r="I1534" s="14">
        <v>45298</v>
      </c>
    </row>
    <row r="1535" spans="1:9" x14ac:dyDescent="0.15">
      <c r="A1535" s="5">
        <v>1534</v>
      </c>
      <c r="B1535" s="6" t="s">
        <v>9</v>
      </c>
      <c r="C1535" s="7">
        <v>1882</v>
      </c>
      <c r="D1535" s="8">
        <v>45388</v>
      </c>
      <c r="E1535" s="9" t="str">
        <f>+HYPERLINK("http://trademark.i-assist.jp/data/china/image_1882th/76237334.pdf","76237334")</f>
        <v>76237334</v>
      </c>
      <c r="F1535" s="6" t="s">
        <v>4272</v>
      </c>
      <c r="G1535" s="6" t="s">
        <v>4273</v>
      </c>
      <c r="H1535" s="8" t="s">
        <v>4274</v>
      </c>
      <c r="I1535" s="14">
        <v>45298</v>
      </c>
    </row>
    <row r="1536" spans="1:9" x14ac:dyDescent="0.15">
      <c r="A1536" s="5">
        <v>1535</v>
      </c>
      <c r="B1536" s="6" t="s">
        <v>9</v>
      </c>
      <c r="C1536" s="7">
        <v>1882</v>
      </c>
      <c r="D1536" s="8">
        <v>45388</v>
      </c>
      <c r="E1536" s="9" t="str">
        <f>+HYPERLINK("http://trademark.i-assist.jp/data/china/image_1882th/76238058.pdf","76238058")</f>
        <v>76238058</v>
      </c>
      <c r="F1536" s="6" t="s">
        <v>4275</v>
      </c>
      <c r="G1536" s="6" t="s">
        <v>4276</v>
      </c>
      <c r="H1536" s="8" t="s">
        <v>4277</v>
      </c>
      <c r="I1536" s="14">
        <v>45298</v>
      </c>
    </row>
    <row r="1537" spans="1:9" x14ac:dyDescent="0.15">
      <c r="A1537" s="5">
        <v>1536</v>
      </c>
      <c r="B1537" s="6" t="s">
        <v>9</v>
      </c>
      <c r="C1537" s="7">
        <v>1882</v>
      </c>
      <c r="D1537" s="8">
        <v>45388</v>
      </c>
      <c r="E1537" s="9" t="str">
        <f>+HYPERLINK("http://trademark.i-assist.jp/data/china/image_1882th/76238541.pdf","76238541")</f>
        <v>76238541</v>
      </c>
      <c r="F1537" s="6" t="s">
        <v>4278</v>
      </c>
      <c r="G1537" s="6" t="s">
        <v>4279</v>
      </c>
      <c r="H1537" s="8" t="s">
        <v>4280</v>
      </c>
      <c r="I1537" s="14">
        <v>45298</v>
      </c>
    </row>
    <row r="1538" spans="1:9" x14ac:dyDescent="0.15">
      <c r="A1538" s="5">
        <v>1537</v>
      </c>
      <c r="B1538" s="6" t="s">
        <v>9</v>
      </c>
      <c r="C1538" s="7">
        <v>1882</v>
      </c>
      <c r="D1538" s="8">
        <v>45388</v>
      </c>
      <c r="E1538" s="9" t="str">
        <f>+HYPERLINK("http://trademark.i-assist.jp/data/china/image_1882th/76238640.pdf","76238640")</f>
        <v>76238640</v>
      </c>
      <c r="F1538" s="6" t="s">
        <v>4281</v>
      </c>
      <c r="G1538" s="6" t="s">
        <v>4282</v>
      </c>
      <c r="H1538" s="8" t="s">
        <v>4283</v>
      </c>
      <c r="I1538" s="14">
        <v>45298</v>
      </c>
    </row>
    <row r="1539" spans="1:9" x14ac:dyDescent="0.15">
      <c r="A1539" s="5">
        <v>1538</v>
      </c>
      <c r="B1539" s="6" t="s">
        <v>9</v>
      </c>
      <c r="C1539" s="7">
        <v>1882</v>
      </c>
      <c r="D1539" s="8">
        <v>45388</v>
      </c>
      <c r="E1539" s="9" t="str">
        <f>+HYPERLINK("http://trademark.i-assist.jp/data/china/image_1882th/76238712.pdf","76238712")</f>
        <v>76238712</v>
      </c>
      <c r="F1539" s="6" t="s">
        <v>4284</v>
      </c>
      <c r="G1539" s="6" t="s">
        <v>4285</v>
      </c>
      <c r="H1539" s="8" t="s">
        <v>4286</v>
      </c>
      <c r="I1539" s="14">
        <v>45298</v>
      </c>
    </row>
    <row r="1540" spans="1:9" x14ac:dyDescent="0.15">
      <c r="A1540" s="5">
        <v>1539</v>
      </c>
      <c r="B1540" s="6" t="s">
        <v>9</v>
      </c>
      <c r="C1540" s="7">
        <v>1882</v>
      </c>
      <c r="D1540" s="8">
        <v>45388</v>
      </c>
      <c r="E1540" s="9" t="str">
        <f>+HYPERLINK("http://trademark.i-assist.jp/data/china/image_1882th/76238829.pdf","76238829")</f>
        <v>76238829</v>
      </c>
      <c r="F1540" s="6" t="s">
        <v>4287</v>
      </c>
      <c r="G1540" s="6" t="s">
        <v>4282</v>
      </c>
      <c r="H1540" s="8" t="s">
        <v>4288</v>
      </c>
      <c r="I1540" s="14">
        <v>45298</v>
      </c>
    </row>
    <row r="1541" spans="1:9" x14ac:dyDescent="0.15">
      <c r="A1541" s="5">
        <v>1540</v>
      </c>
      <c r="B1541" s="6" t="s">
        <v>9</v>
      </c>
      <c r="C1541" s="7">
        <v>1882</v>
      </c>
      <c r="D1541" s="8">
        <v>45388</v>
      </c>
      <c r="E1541" s="9" t="str">
        <f>+HYPERLINK("http://trademark.i-assist.jp/data/china/image_1882th/76238893.pdf","76238893")</f>
        <v>76238893</v>
      </c>
      <c r="F1541" s="6" t="s">
        <v>26</v>
      </c>
      <c r="G1541" s="6" t="s">
        <v>4289</v>
      </c>
      <c r="H1541" s="8" t="s">
        <v>4290</v>
      </c>
      <c r="I1541" s="14">
        <v>45298</v>
      </c>
    </row>
    <row r="1542" spans="1:9" x14ac:dyDescent="0.15">
      <c r="A1542" s="5">
        <v>1541</v>
      </c>
      <c r="B1542" s="6" t="s">
        <v>9</v>
      </c>
      <c r="C1542" s="7">
        <v>1882</v>
      </c>
      <c r="D1542" s="8">
        <v>45388</v>
      </c>
      <c r="E1542" s="9" t="str">
        <f>+HYPERLINK("http://trademark.i-assist.jp/data/china/image_1882th/76238965.pdf","76238965")</f>
        <v>76238965</v>
      </c>
      <c r="F1542" s="6" t="s">
        <v>4291</v>
      </c>
      <c r="G1542" s="6" t="s">
        <v>4292</v>
      </c>
      <c r="H1542" s="8" t="s">
        <v>4293</v>
      </c>
      <c r="I1542" s="14">
        <v>45298</v>
      </c>
    </row>
    <row r="1543" spans="1:9" x14ac:dyDescent="0.15">
      <c r="A1543" s="5">
        <v>1542</v>
      </c>
      <c r="B1543" s="6" t="s">
        <v>9</v>
      </c>
      <c r="C1543" s="7">
        <v>1882</v>
      </c>
      <c r="D1543" s="8">
        <v>45388</v>
      </c>
      <c r="E1543" s="9" t="str">
        <f>+HYPERLINK("http://trademark.i-assist.jp/data/china/image_1882th/76239019.pdf","76239019")</f>
        <v>76239019</v>
      </c>
      <c r="F1543" s="6" t="s">
        <v>4294</v>
      </c>
      <c r="G1543" s="6" t="s">
        <v>4295</v>
      </c>
      <c r="H1543" s="8" t="s">
        <v>4296</v>
      </c>
      <c r="I1543" s="14">
        <v>45298</v>
      </c>
    </row>
    <row r="1544" spans="1:9" x14ac:dyDescent="0.15">
      <c r="A1544" s="5">
        <v>1543</v>
      </c>
      <c r="B1544" s="6" t="s">
        <v>9</v>
      </c>
      <c r="C1544" s="7">
        <v>1882</v>
      </c>
      <c r="D1544" s="8">
        <v>45388</v>
      </c>
      <c r="E1544" s="9" t="str">
        <f>+HYPERLINK("http://trademark.i-assist.jp/data/china/image_1882th/76239365.pdf","76239365")</f>
        <v>76239365</v>
      </c>
      <c r="F1544" s="6" t="s">
        <v>4297</v>
      </c>
      <c r="G1544" s="6" t="s">
        <v>4298</v>
      </c>
      <c r="H1544" s="8" t="s">
        <v>4299</v>
      </c>
      <c r="I1544" s="14">
        <v>45298</v>
      </c>
    </row>
    <row r="1545" spans="1:9" x14ac:dyDescent="0.15">
      <c r="A1545" s="5">
        <v>1544</v>
      </c>
      <c r="B1545" s="6" t="s">
        <v>9</v>
      </c>
      <c r="C1545" s="7">
        <v>1882</v>
      </c>
      <c r="D1545" s="8">
        <v>45388</v>
      </c>
      <c r="E1545" s="9" t="str">
        <f>+HYPERLINK("http://trademark.i-assist.jp/data/china/image_1882th/76239367.pdf","76239367")</f>
        <v>76239367</v>
      </c>
      <c r="F1545" s="6" t="s">
        <v>4300</v>
      </c>
      <c r="G1545" s="6" t="s">
        <v>4301</v>
      </c>
      <c r="H1545" s="8" t="s">
        <v>4302</v>
      </c>
      <c r="I1545" s="14">
        <v>45298</v>
      </c>
    </row>
    <row r="1546" spans="1:9" x14ac:dyDescent="0.15">
      <c r="A1546" s="5">
        <v>1545</v>
      </c>
      <c r="B1546" s="6" t="s">
        <v>9</v>
      </c>
      <c r="C1546" s="7">
        <v>1882</v>
      </c>
      <c r="D1546" s="8">
        <v>45388</v>
      </c>
      <c r="E1546" s="9" t="str">
        <f>+HYPERLINK("http://trademark.i-assist.jp/data/china/image_1882th/76239387.pdf","76239387")</f>
        <v>76239387</v>
      </c>
      <c r="F1546" s="6" t="s">
        <v>4303</v>
      </c>
      <c r="G1546" s="6" t="s">
        <v>4292</v>
      </c>
      <c r="H1546" s="8" t="s">
        <v>4304</v>
      </c>
      <c r="I1546" s="14">
        <v>45298</v>
      </c>
    </row>
    <row r="1547" spans="1:9" x14ac:dyDescent="0.15">
      <c r="A1547" s="5">
        <v>1546</v>
      </c>
      <c r="B1547" s="6" t="s">
        <v>9</v>
      </c>
      <c r="C1547" s="7">
        <v>1882</v>
      </c>
      <c r="D1547" s="8">
        <v>45388</v>
      </c>
      <c r="E1547" s="9" t="str">
        <f>+HYPERLINK("http://trademark.i-assist.jp/data/china/image_1882th/76239455.pdf","76239455")</f>
        <v>76239455</v>
      </c>
      <c r="F1547" s="6" t="s">
        <v>4305</v>
      </c>
      <c r="G1547" s="6" t="s">
        <v>4306</v>
      </c>
      <c r="H1547" s="8" t="s">
        <v>4307</v>
      </c>
      <c r="I1547" s="14">
        <v>45298</v>
      </c>
    </row>
    <row r="1548" spans="1:9" x14ac:dyDescent="0.15">
      <c r="A1548" s="5">
        <v>1547</v>
      </c>
      <c r="B1548" s="6" t="s">
        <v>9</v>
      </c>
      <c r="C1548" s="7">
        <v>1882</v>
      </c>
      <c r="D1548" s="8">
        <v>45388</v>
      </c>
      <c r="E1548" s="9" t="str">
        <f>+HYPERLINK("http://trademark.i-assist.jp/data/china/image_1882th/76240282.pdf","76240282")</f>
        <v>76240282</v>
      </c>
      <c r="F1548" s="6" t="s">
        <v>4308</v>
      </c>
      <c r="G1548" s="6" t="s">
        <v>4270</v>
      </c>
      <c r="H1548" s="8" t="s">
        <v>4309</v>
      </c>
      <c r="I1548" s="14">
        <v>45298</v>
      </c>
    </row>
    <row r="1549" spans="1:9" x14ac:dyDescent="0.15">
      <c r="A1549" s="5">
        <v>1548</v>
      </c>
      <c r="B1549" s="6" t="s">
        <v>9</v>
      </c>
      <c r="C1549" s="7">
        <v>1882</v>
      </c>
      <c r="D1549" s="8">
        <v>45388</v>
      </c>
      <c r="E1549" s="9" t="str">
        <f>+HYPERLINK("http://trademark.i-assist.jp/data/china/image_1882th/76240780.pdf","76240780")</f>
        <v>76240780</v>
      </c>
      <c r="F1549" s="6" t="s">
        <v>4310</v>
      </c>
      <c r="G1549" s="6" t="s">
        <v>4311</v>
      </c>
      <c r="H1549" s="8" t="s">
        <v>4312</v>
      </c>
      <c r="I1549" s="14">
        <v>45299</v>
      </c>
    </row>
    <row r="1550" spans="1:9" x14ac:dyDescent="0.15">
      <c r="A1550" s="5">
        <v>1549</v>
      </c>
      <c r="B1550" s="6" t="s">
        <v>9</v>
      </c>
      <c r="C1550" s="7">
        <v>1882</v>
      </c>
      <c r="D1550" s="8">
        <v>45388</v>
      </c>
      <c r="E1550" s="9" t="str">
        <f>+HYPERLINK("http://trademark.i-assist.jp/data/china/image_1882th/76240790.pdf","76240790")</f>
        <v>76240790</v>
      </c>
      <c r="F1550" s="6" t="s">
        <v>4313</v>
      </c>
      <c r="G1550" s="6" t="s">
        <v>4314</v>
      </c>
      <c r="H1550" s="8" t="s">
        <v>4315</v>
      </c>
      <c r="I1550" s="14">
        <v>45299</v>
      </c>
    </row>
    <row r="1551" spans="1:9" x14ac:dyDescent="0.15">
      <c r="A1551" s="5">
        <v>1550</v>
      </c>
      <c r="B1551" s="6" t="s">
        <v>9</v>
      </c>
      <c r="C1551" s="7">
        <v>1882</v>
      </c>
      <c r="D1551" s="8">
        <v>45388</v>
      </c>
      <c r="E1551" s="9" t="str">
        <f>+HYPERLINK("http://trademark.i-assist.jp/data/china/image_1882th/76240851.pdf","76240851")</f>
        <v>76240851</v>
      </c>
      <c r="F1551" s="6" t="s">
        <v>4316</v>
      </c>
      <c r="G1551" s="6" t="s">
        <v>4317</v>
      </c>
      <c r="H1551" s="8" t="s">
        <v>4318</v>
      </c>
      <c r="I1551" s="14">
        <v>45299</v>
      </c>
    </row>
    <row r="1552" spans="1:9" x14ac:dyDescent="0.15">
      <c r="A1552" s="5">
        <v>1551</v>
      </c>
      <c r="B1552" s="6" t="s">
        <v>9</v>
      </c>
      <c r="C1552" s="7">
        <v>1882</v>
      </c>
      <c r="D1552" s="8">
        <v>45388</v>
      </c>
      <c r="E1552" s="9" t="str">
        <f>+HYPERLINK("http://trademark.i-assist.jp/data/china/image_1882th/76240863.pdf","76240863")</f>
        <v>76240863</v>
      </c>
      <c r="F1552" s="6" t="s">
        <v>4319</v>
      </c>
      <c r="G1552" s="6" t="s">
        <v>1585</v>
      </c>
      <c r="H1552" s="8" t="s">
        <v>4320</v>
      </c>
      <c r="I1552" s="14">
        <v>45299</v>
      </c>
    </row>
    <row r="1553" spans="1:9" x14ac:dyDescent="0.15">
      <c r="A1553" s="5">
        <v>1552</v>
      </c>
      <c r="B1553" s="6" t="s">
        <v>9</v>
      </c>
      <c r="C1553" s="7">
        <v>1882</v>
      </c>
      <c r="D1553" s="8">
        <v>45388</v>
      </c>
      <c r="E1553" s="9" t="str">
        <f>+HYPERLINK("http://trademark.i-assist.jp/data/china/image_1882th/76240989.pdf","76240989")</f>
        <v>76240989</v>
      </c>
      <c r="F1553" s="6" t="s">
        <v>4321</v>
      </c>
      <c r="G1553" s="6" t="s">
        <v>2688</v>
      </c>
      <c r="H1553" s="8" t="s">
        <v>4322</v>
      </c>
      <c r="I1553" s="14">
        <v>45299</v>
      </c>
    </row>
    <row r="1554" spans="1:9" x14ac:dyDescent="0.15">
      <c r="A1554" s="5">
        <v>1553</v>
      </c>
      <c r="B1554" s="6" t="s">
        <v>9</v>
      </c>
      <c r="C1554" s="7">
        <v>1882</v>
      </c>
      <c r="D1554" s="8">
        <v>45388</v>
      </c>
      <c r="E1554" s="9" t="str">
        <f>+HYPERLINK("http://trademark.i-assist.jp/data/china/image_1882th/76241070.pdf","76241070")</f>
        <v>76241070</v>
      </c>
      <c r="F1554" s="6" t="s">
        <v>4323</v>
      </c>
      <c r="G1554" s="6" t="s">
        <v>4324</v>
      </c>
      <c r="H1554" s="8" t="s">
        <v>4325</v>
      </c>
      <c r="I1554" s="14">
        <v>45299</v>
      </c>
    </row>
    <row r="1555" spans="1:9" x14ac:dyDescent="0.15">
      <c r="A1555" s="5">
        <v>1554</v>
      </c>
      <c r="B1555" s="6" t="s">
        <v>9</v>
      </c>
      <c r="C1555" s="7">
        <v>1882</v>
      </c>
      <c r="D1555" s="8">
        <v>45388</v>
      </c>
      <c r="E1555" s="9" t="str">
        <f>+HYPERLINK("http://trademark.i-assist.jp/data/china/image_1882th/76241073.pdf","76241073")</f>
        <v>76241073</v>
      </c>
      <c r="F1555" s="6" t="s">
        <v>4326</v>
      </c>
      <c r="G1555" s="6" t="s">
        <v>4327</v>
      </c>
      <c r="H1555" s="8" t="s">
        <v>4328</v>
      </c>
      <c r="I1555" s="14">
        <v>45299</v>
      </c>
    </row>
    <row r="1556" spans="1:9" x14ac:dyDescent="0.15">
      <c r="A1556" s="5">
        <v>1555</v>
      </c>
      <c r="B1556" s="6" t="s">
        <v>9</v>
      </c>
      <c r="C1556" s="7">
        <v>1882</v>
      </c>
      <c r="D1556" s="8">
        <v>45388</v>
      </c>
      <c r="E1556" s="9" t="str">
        <f>+HYPERLINK("http://trademark.i-assist.jp/data/china/image_1882th/76241081.pdf","76241081")</f>
        <v>76241081</v>
      </c>
      <c r="F1556" s="6" t="s">
        <v>4329</v>
      </c>
      <c r="G1556" s="6" t="s">
        <v>4327</v>
      </c>
      <c r="H1556" s="8" t="s">
        <v>4330</v>
      </c>
      <c r="I1556" s="14">
        <v>45299</v>
      </c>
    </row>
    <row r="1557" spans="1:9" x14ac:dyDescent="0.15">
      <c r="A1557" s="5">
        <v>1556</v>
      </c>
      <c r="B1557" s="6" t="s">
        <v>9</v>
      </c>
      <c r="C1557" s="7">
        <v>1882</v>
      </c>
      <c r="D1557" s="8">
        <v>45388</v>
      </c>
      <c r="E1557" s="9" t="str">
        <f>+HYPERLINK("http://trademark.i-assist.jp/data/china/image_1882th/76241118.pdf","76241118")</f>
        <v>76241118</v>
      </c>
      <c r="F1557" s="6" t="s">
        <v>4331</v>
      </c>
      <c r="G1557" s="6" t="s">
        <v>4332</v>
      </c>
      <c r="H1557" s="8" t="s">
        <v>4333</v>
      </c>
      <c r="I1557" s="14">
        <v>45299</v>
      </c>
    </row>
    <row r="1558" spans="1:9" x14ac:dyDescent="0.15">
      <c r="A1558" s="5">
        <v>1557</v>
      </c>
      <c r="B1558" s="6" t="s">
        <v>9</v>
      </c>
      <c r="C1558" s="7">
        <v>1882</v>
      </c>
      <c r="D1558" s="8">
        <v>45388</v>
      </c>
      <c r="E1558" s="9" t="str">
        <f>+HYPERLINK("http://trademark.i-assist.jp/data/china/image_1882th/76241291.pdf","76241291")</f>
        <v>76241291</v>
      </c>
      <c r="F1558" s="6" t="s">
        <v>4334</v>
      </c>
      <c r="G1558" s="6" t="s">
        <v>4335</v>
      </c>
      <c r="H1558" s="8" t="s">
        <v>4336</v>
      </c>
      <c r="I1558" s="14">
        <v>45299</v>
      </c>
    </row>
    <row r="1559" spans="1:9" x14ac:dyDescent="0.15">
      <c r="A1559" s="5">
        <v>1558</v>
      </c>
      <c r="B1559" s="6" t="s">
        <v>9</v>
      </c>
      <c r="C1559" s="7">
        <v>1882</v>
      </c>
      <c r="D1559" s="8">
        <v>45388</v>
      </c>
      <c r="E1559" s="9" t="str">
        <f>+HYPERLINK("http://trademark.i-assist.jp/data/china/image_1882th/76241348.pdf","76241348")</f>
        <v>76241348</v>
      </c>
      <c r="F1559" s="6" t="s">
        <v>4337</v>
      </c>
      <c r="G1559" s="6" t="s">
        <v>4338</v>
      </c>
      <c r="H1559" s="8" t="s">
        <v>4339</v>
      </c>
      <c r="I1559" s="14">
        <v>45299</v>
      </c>
    </row>
    <row r="1560" spans="1:9" x14ac:dyDescent="0.15">
      <c r="A1560" s="5">
        <v>1559</v>
      </c>
      <c r="B1560" s="6" t="s">
        <v>9</v>
      </c>
      <c r="C1560" s="7">
        <v>1882</v>
      </c>
      <c r="D1560" s="8">
        <v>45388</v>
      </c>
      <c r="E1560" s="9" t="str">
        <f>+HYPERLINK("http://trademark.i-assist.jp/data/china/image_1882th/76241446.pdf","76241446")</f>
        <v>76241446</v>
      </c>
      <c r="F1560" s="6" t="s">
        <v>4340</v>
      </c>
      <c r="G1560" s="6" t="s">
        <v>4341</v>
      </c>
      <c r="H1560" s="8" t="s">
        <v>4342</v>
      </c>
      <c r="I1560" s="14">
        <v>45299</v>
      </c>
    </row>
    <row r="1561" spans="1:9" x14ac:dyDescent="0.15">
      <c r="A1561" s="5">
        <v>1560</v>
      </c>
      <c r="B1561" s="6" t="s">
        <v>9</v>
      </c>
      <c r="C1561" s="7">
        <v>1882</v>
      </c>
      <c r="D1561" s="8">
        <v>45388</v>
      </c>
      <c r="E1561" s="9" t="str">
        <f>+HYPERLINK("http://trademark.i-assist.jp/data/china/image_1882th/76241462.pdf","76241462")</f>
        <v>76241462</v>
      </c>
      <c r="F1561" s="6" t="s">
        <v>4343</v>
      </c>
      <c r="G1561" s="6" t="s">
        <v>4341</v>
      </c>
      <c r="H1561" s="8" t="s">
        <v>4344</v>
      </c>
      <c r="I1561" s="14">
        <v>45299</v>
      </c>
    </row>
    <row r="1562" spans="1:9" x14ac:dyDescent="0.15">
      <c r="A1562" s="5">
        <v>1561</v>
      </c>
      <c r="B1562" s="6" t="s">
        <v>9</v>
      </c>
      <c r="C1562" s="7">
        <v>1882</v>
      </c>
      <c r="D1562" s="8">
        <v>45388</v>
      </c>
      <c r="E1562" s="9" t="str">
        <f>+HYPERLINK("http://trademark.i-assist.jp/data/china/image_1882th/76241731.pdf","76241731")</f>
        <v>76241731</v>
      </c>
      <c r="F1562" s="6" t="s">
        <v>4345</v>
      </c>
      <c r="G1562" s="6" t="s">
        <v>4346</v>
      </c>
      <c r="H1562" s="8" t="s">
        <v>4347</v>
      </c>
      <c r="I1562" s="14">
        <v>45299</v>
      </c>
    </row>
    <row r="1563" spans="1:9" x14ac:dyDescent="0.15">
      <c r="A1563" s="5">
        <v>1562</v>
      </c>
      <c r="B1563" s="6" t="s">
        <v>9</v>
      </c>
      <c r="C1563" s="7">
        <v>1882</v>
      </c>
      <c r="D1563" s="8">
        <v>45388</v>
      </c>
      <c r="E1563" s="9" t="str">
        <f>+HYPERLINK("http://trademark.i-assist.jp/data/china/image_1882th/76241912.pdf","76241912")</f>
        <v>76241912</v>
      </c>
      <c r="F1563" s="6" t="s">
        <v>4348</v>
      </c>
      <c r="G1563" s="6" t="s">
        <v>4349</v>
      </c>
      <c r="H1563" s="8" t="s">
        <v>4350</v>
      </c>
      <c r="I1563" s="14">
        <v>45299</v>
      </c>
    </row>
    <row r="1564" spans="1:9" x14ac:dyDescent="0.15">
      <c r="A1564" s="5">
        <v>1563</v>
      </c>
      <c r="B1564" s="6" t="s">
        <v>9</v>
      </c>
      <c r="C1564" s="7">
        <v>1882</v>
      </c>
      <c r="D1564" s="8">
        <v>45388</v>
      </c>
      <c r="E1564" s="9" t="str">
        <f>+HYPERLINK("http://trademark.i-assist.jp/data/china/image_1882th/76241913.pdf","76241913")</f>
        <v>76241913</v>
      </c>
      <c r="F1564" s="6" t="s">
        <v>4351</v>
      </c>
      <c r="G1564" s="6" t="s">
        <v>4352</v>
      </c>
      <c r="H1564" s="8" t="s">
        <v>4353</v>
      </c>
      <c r="I1564" s="14">
        <v>45299</v>
      </c>
    </row>
    <row r="1565" spans="1:9" x14ac:dyDescent="0.15">
      <c r="A1565" s="5">
        <v>1564</v>
      </c>
      <c r="B1565" s="6" t="s">
        <v>9</v>
      </c>
      <c r="C1565" s="7">
        <v>1882</v>
      </c>
      <c r="D1565" s="8">
        <v>45388</v>
      </c>
      <c r="E1565" s="9" t="str">
        <f>+HYPERLINK("http://trademark.i-assist.jp/data/china/image_1882th/76242053.pdf","76242053")</f>
        <v>76242053</v>
      </c>
      <c r="F1565" s="6" t="s">
        <v>4354</v>
      </c>
      <c r="G1565" s="6" t="s">
        <v>4355</v>
      </c>
      <c r="H1565" s="8" t="s">
        <v>4356</v>
      </c>
      <c r="I1565" s="14">
        <v>45299</v>
      </c>
    </row>
    <row r="1566" spans="1:9" x14ac:dyDescent="0.15">
      <c r="A1566" s="5">
        <v>1565</v>
      </c>
      <c r="B1566" s="6" t="s">
        <v>9</v>
      </c>
      <c r="C1566" s="7">
        <v>1882</v>
      </c>
      <c r="D1566" s="8">
        <v>45388</v>
      </c>
      <c r="E1566" s="9" t="str">
        <f>+HYPERLINK("http://trademark.i-assist.jp/data/china/image_1882th/76242079.pdf","76242079")</f>
        <v>76242079</v>
      </c>
      <c r="F1566" s="6" t="s">
        <v>4357</v>
      </c>
      <c r="G1566" s="6" t="s">
        <v>4358</v>
      </c>
      <c r="H1566" s="8" t="s">
        <v>4359</v>
      </c>
      <c r="I1566" s="14">
        <v>45299</v>
      </c>
    </row>
    <row r="1567" spans="1:9" x14ac:dyDescent="0.15">
      <c r="A1567" s="5">
        <v>1566</v>
      </c>
      <c r="B1567" s="6" t="s">
        <v>9</v>
      </c>
      <c r="C1567" s="7">
        <v>1882</v>
      </c>
      <c r="D1567" s="8">
        <v>45388</v>
      </c>
      <c r="E1567" s="9" t="str">
        <f>+HYPERLINK("http://trademark.i-assist.jp/data/china/image_1882th/76242105.pdf","76242105")</f>
        <v>76242105</v>
      </c>
      <c r="F1567" s="6" t="s">
        <v>4360</v>
      </c>
      <c r="G1567" s="6" t="s">
        <v>4361</v>
      </c>
      <c r="H1567" s="8" t="s">
        <v>4362</v>
      </c>
      <c r="I1567" s="14">
        <v>45299</v>
      </c>
    </row>
    <row r="1568" spans="1:9" x14ac:dyDescent="0.15">
      <c r="A1568" s="5">
        <v>1567</v>
      </c>
      <c r="B1568" s="6" t="s">
        <v>9</v>
      </c>
      <c r="C1568" s="7">
        <v>1882</v>
      </c>
      <c r="D1568" s="8">
        <v>45388</v>
      </c>
      <c r="E1568" s="9" t="str">
        <f>+HYPERLINK("http://trademark.i-assist.jp/data/china/image_1882th/76242262.pdf","76242262")</f>
        <v>76242262</v>
      </c>
      <c r="F1568" s="6" t="s">
        <v>4363</v>
      </c>
      <c r="G1568" s="6" t="s">
        <v>4364</v>
      </c>
      <c r="H1568" s="8" t="s">
        <v>4365</v>
      </c>
      <c r="I1568" s="14">
        <v>45299</v>
      </c>
    </row>
    <row r="1569" spans="1:9" x14ac:dyDescent="0.15">
      <c r="A1569" s="5">
        <v>1568</v>
      </c>
      <c r="B1569" s="6" t="s">
        <v>9</v>
      </c>
      <c r="C1569" s="7">
        <v>1882</v>
      </c>
      <c r="D1569" s="8">
        <v>45388</v>
      </c>
      <c r="E1569" s="9" t="str">
        <f>+HYPERLINK("http://trademark.i-assist.jp/data/china/image_1882th/76242317.pdf","76242317")</f>
        <v>76242317</v>
      </c>
      <c r="F1569" s="6" t="s">
        <v>4366</v>
      </c>
      <c r="G1569" s="6" t="s">
        <v>4367</v>
      </c>
      <c r="H1569" s="8" t="s">
        <v>4368</v>
      </c>
      <c r="I1569" s="14">
        <v>45299</v>
      </c>
    </row>
    <row r="1570" spans="1:9" x14ac:dyDescent="0.15">
      <c r="A1570" s="5">
        <v>1569</v>
      </c>
      <c r="B1570" s="6" t="s">
        <v>9</v>
      </c>
      <c r="C1570" s="7">
        <v>1882</v>
      </c>
      <c r="D1570" s="8">
        <v>45388</v>
      </c>
      <c r="E1570" s="9" t="str">
        <f>+HYPERLINK("http://trademark.i-assist.jp/data/china/image_1882th/76242429.pdf","76242429")</f>
        <v>76242429</v>
      </c>
      <c r="F1570" s="6" t="s">
        <v>4369</v>
      </c>
      <c r="G1570" s="6" t="s">
        <v>4370</v>
      </c>
      <c r="H1570" s="8" t="s">
        <v>4371</v>
      </c>
      <c r="I1570" s="14">
        <v>45299</v>
      </c>
    </row>
    <row r="1571" spans="1:9" x14ac:dyDescent="0.15">
      <c r="A1571" s="5">
        <v>1570</v>
      </c>
      <c r="B1571" s="6" t="s">
        <v>9</v>
      </c>
      <c r="C1571" s="7">
        <v>1882</v>
      </c>
      <c r="D1571" s="8">
        <v>45388</v>
      </c>
      <c r="E1571" s="9" t="str">
        <f>+HYPERLINK("http://trademark.i-assist.jp/data/china/image_1882th/76242460.pdf","76242460")</f>
        <v>76242460</v>
      </c>
      <c r="F1571" s="6" t="s">
        <v>4372</v>
      </c>
      <c r="G1571" s="6" t="s">
        <v>4373</v>
      </c>
      <c r="H1571" s="8" t="s">
        <v>4374</v>
      </c>
      <c r="I1571" s="14">
        <v>45299</v>
      </c>
    </row>
    <row r="1572" spans="1:9" x14ac:dyDescent="0.15">
      <c r="A1572" s="5">
        <v>1571</v>
      </c>
      <c r="B1572" s="6" t="s">
        <v>9</v>
      </c>
      <c r="C1572" s="7">
        <v>1882</v>
      </c>
      <c r="D1572" s="8">
        <v>45388</v>
      </c>
      <c r="E1572" s="9" t="str">
        <f>+HYPERLINK("http://trademark.i-assist.jp/data/china/image_1882th/76242488.pdf","76242488")</f>
        <v>76242488</v>
      </c>
      <c r="F1572" s="6" t="s">
        <v>4375</v>
      </c>
      <c r="G1572" s="6" t="s">
        <v>4376</v>
      </c>
      <c r="H1572" s="8" t="s">
        <v>4377</v>
      </c>
      <c r="I1572" s="14">
        <v>45299</v>
      </c>
    </row>
    <row r="1573" spans="1:9" x14ac:dyDescent="0.15">
      <c r="A1573" s="5">
        <v>1572</v>
      </c>
      <c r="B1573" s="6" t="s">
        <v>9</v>
      </c>
      <c r="C1573" s="7">
        <v>1882</v>
      </c>
      <c r="D1573" s="8">
        <v>45388</v>
      </c>
      <c r="E1573" s="9" t="str">
        <f>+HYPERLINK("http://trademark.i-assist.jp/data/china/image_1882th/76242643.pdf","76242643")</f>
        <v>76242643</v>
      </c>
      <c r="F1573" s="6" t="s">
        <v>4378</v>
      </c>
      <c r="G1573" s="6" t="s">
        <v>4379</v>
      </c>
      <c r="H1573" s="8" t="s">
        <v>4380</v>
      </c>
      <c r="I1573" s="14">
        <v>45299</v>
      </c>
    </row>
    <row r="1574" spans="1:9" x14ac:dyDescent="0.15">
      <c r="A1574" s="5">
        <v>1573</v>
      </c>
      <c r="B1574" s="6" t="s">
        <v>9</v>
      </c>
      <c r="C1574" s="7">
        <v>1882</v>
      </c>
      <c r="D1574" s="8">
        <v>45388</v>
      </c>
      <c r="E1574" s="9" t="str">
        <f>+HYPERLINK("http://trademark.i-assist.jp/data/china/image_1882th/76242730.pdf","76242730")</f>
        <v>76242730</v>
      </c>
      <c r="F1574" s="6" t="s">
        <v>4381</v>
      </c>
      <c r="G1574" s="6" t="s">
        <v>3639</v>
      </c>
      <c r="H1574" s="8" t="s">
        <v>4382</v>
      </c>
      <c r="I1574" s="14">
        <v>45299</v>
      </c>
    </row>
    <row r="1575" spans="1:9" x14ac:dyDescent="0.15">
      <c r="A1575" s="5">
        <v>1574</v>
      </c>
      <c r="B1575" s="6" t="s">
        <v>9</v>
      </c>
      <c r="C1575" s="7">
        <v>1882</v>
      </c>
      <c r="D1575" s="8">
        <v>45388</v>
      </c>
      <c r="E1575" s="9" t="str">
        <f>+HYPERLINK("http://trademark.i-assist.jp/data/china/image_1882th/76242734.pdf","76242734")</f>
        <v>76242734</v>
      </c>
      <c r="F1575" s="6" t="s">
        <v>4383</v>
      </c>
      <c r="G1575" s="6" t="s">
        <v>4335</v>
      </c>
      <c r="H1575" s="8" t="s">
        <v>4384</v>
      </c>
      <c r="I1575" s="14">
        <v>45299</v>
      </c>
    </row>
    <row r="1576" spans="1:9" x14ac:dyDescent="0.15">
      <c r="A1576" s="5">
        <v>1575</v>
      </c>
      <c r="B1576" s="6" t="s">
        <v>9</v>
      </c>
      <c r="C1576" s="7">
        <v>1882</v>
      </c>
      <c r="D1576" s="8">
        <v>45388</v>
      </c>
      <c r="E1576" s="9" t="str">
        <f>+HYPERLINK("http://trademark.i-assist.jp/data/china/image_1882th/76242929.pdf","76242929")</f>
        <v>76242929</v>
      </c>
      <c r="F1576" s="6" t="s">
        <v>4385</v>
      </c>
      <c r="G1576" s="6" t="s">
        <v>4386</v>
      </c>
      <c r="H1576" s="8" t="s">
        <v>4387</v>
      </c>
      <c r="I1576" s="14">
        <v>45299</v>
      </c>
    </row>
    <row r="1577" spans="1:9" x14ac:dyDescent="0.15">
      <c r="A1577" s="5">
        <v>1576</v>
      </c>
      <c r="B1577" s="6" t="s">
        <v>9</v>
      </c>
      <c r="C1577" s="7">
        <v>1882</v>
      </c>
      <c r="D1577" s="8">
        <v>45388</v>
      </c>
      <c r="E1577" s="9" t="str">
        <f>+HYPERLINK("http://trademark.i-assist.jp/data/china/image_1882th/76243198.pdf","76243198")</f>
        <v>76243198</v>
      </c>
      <c r="F1577" s="6" t="s">
        <v>4388</v>
      </c>
      <c r="G1577" s="6" t="s">
        <v>4389</v>
      </c>
      <c r="H1577" s="8" t="s">
        <v>4390</v>
      </c>
      <c r="I1577" s="14">
        <v>45299</v>
      </c>
    </row>
    <row r="1578" spans="1:9" x14ac:dyDescent="0.15">
      <c r="A1578" s="5">
        <v>1577</v>
      </c>
      <c r="B1578" s="6" t="s">
        <v>9</v>
      </c>
      <c r="C1578" s="7">
        <v>1882</v>
      </c>
      <c r="D1578" s="8">
        <v>45388</v>
      </c>
      <c r="E1578" s="9" t="str">
        <f>+HYPERLINK("http://trademark.i-assist.jp/data/china/image_1882th/76243271.pdf","76243271")</f>
        <v>76243271</v>
      </c>
      <c r="F1578" s="6" t="s">
        <v>4391</v>
      </c>
      <c r="G1578" s="6" t="s">
        <v>4392</v>
      </c>
      <c r="H1578" s="8" t="s">
        <v>4393</v>
      </c>
      <c r="I1578" s="14">
        <v>45299</v>
      </c>
    </row>
    <row r="1579" spans="1:9" x14ac:dyDescent="0.15">
      <c r="A1579" s="5">
        <v>1578</v>
      </c>
      <c r="B1579" s="6" t="s">
        <v>9</v>
      </c>
      <c r="C1579" s="7">
        <v>1882</v>
      </c>
      <c r="D1579" s="8">
        <v>45388</v>
      </c>
      <c r="E1579" s="9" t="str">
        <f>+HYPERLINK("http://trademark.i-assist.jp/data/china/image_1882th/76243308.pdf","76243308")</f>
        <v>76243308</v>
      </c>
      <c r="F1579" s="6" t="s">
        <v>4394</v>
      </c>
      <c r="G1579" s="6" t="s">
        <v>4395</v>
      </c>
      <c r="H1579" s="8" t="s">
        <v>4396</v>
      </c>
      <c r="I1579" s="14">
        <v>45299</v>
      </c>
    </row>
    <row r="1580" spans="1:9" x14ac:dyDescent="0.15">
      <c r="A1580" s="5">
        <v>1579</v>
      </c>
      <c r="B1580" s="6" t="s">
        <v>9</v>
      </c>
      <c r="C1580" s="7">
        <v>1882</v>
      </c>
      <c r="D1580" s="8">
        <v>45388</v>
      </c>
      <c r="E1580" s="9" t="str">
        <f>+HYPERLINK("http://trademark.i-assist.jp/data/china/image_1882th/76243550.pdf","76243550")</f>
        <v>76243550</v>
      </c>
      <c r="F1580" s="6" t="s">
        <v>4397</v>
      </c>
      <c r="G1580" s="6" t="s">
        <v>4398</v>
      </c>
      <c r="H1580" s="8" t="s">
        <v>4399</v>
      </c>
      <c r="I1580" s="14">
        <v>45299</v>
      </c>
    </row>
    <row r="1581" spans="1:9" x14ac:dyDescent="0.15">
      <c r="A1581" s="5">
        <v>1580</v>
      </c>
      <c r="B1581" s="6" t="s">
        <v>9</v>
      </c>
      <c r="C1581" s="7">
        <v>1882</v>
      </c>
      <c r="D1581" s="8">
        <v>45388</v>
      </c>
      <c r="E1581" s="9" t="str">
        <f>+HYPERLINK("http://trademark.i-assist.jp/data/china/image_1882th/76243685.pdf","76243685")</f>
        <v>76243685</v>
      </c>
      <c r="F1581" s="6" t="s">
        <v>4400</v>
      </c>
      <c r="G1581" s="6" t="s">
        <v>4401</v>
      </c>
      <c r="H1581" s="8" t="s">
        <v>4402</v>
      </c>
      <c r="I1581" s="14">
        <v>45299</v>
      </c>
    </row>
    <row r="1582" spans="1:9" x14ac:dyDescent="0.15">
      <c r="A1582" s="5">
        <v>1581</v>
      </c>
      <c r="B1582" s="6" t="s">
        <v>9</v>
      </c>
      <c r="C1582" s="7">
        <v>1882</v>
      </c>
      <c r="D1582" s="8">
        <v>45388</v>
      </c>
      <c r="E1582" s="9" t="str">
        <f>+HYPERLINK("http://trademark.i-assist.jp/data/china/image_1882th/76244042.pdf","76244042")</f>
        <v>76244042</v>
      </c>
      <c r="F1582" s="6" t="s">
        <v>4403</v>
      </c>
      <c r="G1582" s="6" t="s">
        <v>4404</v>
      </c>
      <c r="H1582" s="8" t="s">
        <v>4405</v>
      </c>
      <c r="I1582" s="14">
        <v>45299</v>
      </c>
    </row>
    <row r="1583" spans="1:9" x14ac:dyDescent="0.15">
      <c r="A1583" s="5">
        <v>1582</v>
      </c>
      <c r="B1583" s="6" t="s">
        <v>9</v>
      </c>
      <c r="C1583" s="7">
        <v>1882</v>
      </c>
      <c r="D1583" s="8">
        <v>45388</v>
      </c>
      <c r="E1583" s="9" t="str">
        <f>+HYPERLINK("http://trademark.i-assist.jp/data/china/image_1882th/76244251.pdf","76244251")</f>
        <v>76244251</v>
      </c>
      <c r="F1583" s="6" t="s">
        <v>4406</v>
      </c>
      <c r="G1583" s="6" t="s">
        <v>4341</v>
      </c>
      <c r="H1583" s="8" t="s">
        <v>4407</v>
      </c>
      <c r="I1583" s="14">
        <v>45299</v>
      </c>
    </row>
    <row r="1584" spans="1:9" x14ac:dyDescent="0.15">
      <c r="A1584" s="5">
        <v>1583</v>
      </c>
      <c r="B1584" s="6" t="s">
        <v>9</v>
      </c>
      <c r="C1584" s="7">
        <v>1882</v>
      </c>
      <c r="D1584" s="8">
        <v>45388</v>
      </c>
      <c r="E1584" s="9" t="str">
        <f>+HYPERLINK("http://trademark.i-assist.jp/data/china/image_1882th/76244500.pdf","76244500")</f>
        <v>76244500</v>
      </c>
      <c r="F1584" s="6" t="s">
        <v>4408</v>
      </c>
      <c r="G1584" s="6" t="s">
        <v>4409</v>
      </c>
      <c r="H1584" s="8" t="s">
        <v>4410</v>
      </c>
      <c r="I1584" s="14">
        <v>45299</v>
      </c>
    </row>
    <row r="1585" spans="1:9" x14ac:dyDescent="0.15">
      <c r="A1585" s="5">
        <v>1584</v>
      </c>
      <c r="B1585" s="6" t="s">
        <v>9</v>
      </c>
      <c r="C1585" s="7">
        <v>1882</v>
      </c>
      <c r="D1585" s="8">
        <v>45388</v>
      </c>
      <c r="E1585" s="9" t="str">
        <f>+HYPERLINK("http://trademark.i-assist.jp/data/china/image_1882th/76244507.pdf","76244507")</f>
        <v>76244507</v>
      </c>
      <c r="F1585" s="6" t="s">
        <v>4411</v>
      </c>
      <c r="G1585" s="6" t="s">
        <v>4412</v>
      </c>
      <c r="H1585" s="8" t="s">
        <v>4413</v>
      </c>
      <c r="I1585" s="14">
        <v>45299</v>
      </c>
    </row>
    <row r="1586" spans="1:9" x14ac:dyDescent="0.15">
      <c r="A1586" s="5">
        <v>1585</v>
      </c>
      <c r="B1586" s="6" t="s">
        <v>9</v>
      </c>
      <c r="C1586" s="7">
        <v>1882</v>
      </c>
      <c r="D1586" s="8">
        <v>45388</v>
      </c>
      <c r="E1586" s="9" t="str">
        <f>+HYPERLINK("http://trademark.i-assist.jp/data/china/image_1882th/76244563.pdf","76244563")</f>
        <v>76244563</v>
      </c>
      <c r="F1586" s="6" t="s">
        <v>4414</v>
      </c>
      <c r="G1586" s="6" t="s">
        <v>4415</v>
      </c>
      <c r="H1586" s="8" t="s">
        <v>4416</v>
      </c>
      <c r="I1586" s="14">
        <v>45299</v>
      </c>
    </row>
    <row r="1587" spans="1:9" x14ac:dyDescent="0.15">
      <c r="A1587" s="5">
        <v>1586</v>
      </c>
      <c r="B1587" s="6" t="s">
        <v>9</v>
      </c>
      <c r="C1587" s="7">
        <v>1882</v>
      </c>
      <c r="D1587" s="8">
        <v>45388</v>
      </c>
      <c r="E1587" s="9" t="str">
        <f>+HYPERLINK("http://trademark.i-assist.jp/data/china/image_1882th/76244649.pdf","76244649")</f>
        <v>76244649</v>
      </c>
      <c r="F1587" s="6" t="s">
        <v>4417</v>
      </c>
      <c r="G1587" s="6" t="s">
        <v>3639</v>
      </c>
      <c r="H1587" s="8" t="s">
        <v>4418</v>
      </c>
      <c r="I1587" s="14">
        <v>45299</v>
      </c>
    </row>
    <row r="1588" spans="1:9" x14ac:dyDescent="0.15">
      <c r="A1588" s="5">
        <v>1587</v>
      </c>
      <c r="B1588" s="6" t="s">
        <v>9</v>
      </c>
      <c r="C1588" s="7">
        <v>1882</v>
      </c>
      <c r="D1588" s="8">
        <v>45388</v>
      </c>
      <c r="E1588" s="9" t="str">
        <f>+HYPERLINK("http://trademark.i-assist.jp/data/china/image_1882th/76244866.pdf","76244866")</f>
        <v>76244866</v>
      </c>
      <c r="F1588" s="6" t="s">
        <v>4419</v>
      </c>
      <c r="G1588" s="6" t="s">
        <v>4420</v>
      </c>
      <c r="H1588" s="8" t="s">
        <v>4421</v>
      </c>
      <c r="I1588" s="14">
        <v>45299</v>
      </c>
    </row>
    <row r="1589" spans="1:9" x14ac:dyDescent="0.15">
      <c r="A1589" s="5">
        <v>1588</v>
      </c>
      <c r="B1589" s="6" t="s">
        <v>9</v>
      </c>
      <c r="C1589" s="7">
        <v>1882</v>
      </c>
      <c r="D1589" s="8">
        <v>45388</v>
      </c>
      <c r="E1589" s="9" t="str">
        <f>+HYPERLINK("http://trademark.i-assist.jp/data/china/image_1882th/76244892.pdf","76244892")</f>
        <v>76244892</v>
      </c>
      <c r="F1589" s="6" t="s">
        <v>4422</v>
      </c>
      <c r="G1589" s="6" t="s">
        <v>4327</v>
      </c>
      <c r="H1589" s="8" t="s">
        <v>4423</v>
      </c>
      <c r="I1589" s="14">
        <v>45299</v>
      </c>
    </row>
    <row r="1590" spans="1:9" x14ac:dyDescent="0.15">
      <c r="A1590" s="5">
        <v>1589</v>
      </c>
      <c r="B1590" s="6" t="s">
        <v>9</v>
      </c>
      <c r="C1590" s="7">
        <v>1882</v>
      </c>
      <c r="D1590" s="8">
        <v>45388</v>
      </c>
      <c r="E1590" s="9" t="str">
        <f>+HYPERLINK("http://trademark.i-assist.jp/data/china/image_1882th/76244895.pdf","76244895")</f>
        <v>76244895</v>
      </c>
      <c r="F1590" s="6" t="s">
        <v>4424</v>
      </c>
      <c r="G1590" s="6" t="s">
        <v>4425</v>
      </c>
      <c r="H1590" s="8" t="s">
        <v>4426</v>
      </c>
      <c r="I1590" s="14">
        <v>45299</v>
      </c>
    </row>
    <row r="1591" spans="1:9" x14ac:dyDescent="0.15">
      <c r="A1591" s="5">
        <v>1590</v>
      </c>
      <c r="B1591" s="6" t="s">
        <v>9</v>
      </c>
      <c r="C1591" s="7">
        <v>1882</v>
      </c>
      <c r="D1591" s="8">
        <v>45388</v>
      </c>
      <c r="E1591" s="9" t="str">
        <f>+HYPERLINK("http://trademark.i-assist.jp/data/china/image_1882th/76244923.pdf","76244923")</f>
        <v>76244923</v>
      </c>
      <c r="F1591" s="6" t="s">
        <v>4427</v>
      </c>
      <c r="G1591" s="6" t="s">
        <v>4428</v>
      </c>
      <c r="H1591" s="8" t="s">
        <v>4429</v>
      </c>
      <c r="I1591" s="14">
        <v>45299</v>
      </c>
    </row>
    <row r="1592" spans="1:9" x14ac:dyDescent="0.15">
      <c r="A1592" s="5">
        <v>1591</v>
      </c>
      <c r="B1592" s="6" t="s">
        <v>9</v>
      </c>
      <c r="C1592" s="7">
        <v>1882</v>
      </c>
      <c r="D1592" s="8">
        <v>45388</v>
      </c>
      <c r="E1592" s="9" t="str">
        <f>+HYPERLINK("http://trademark.i-assist.jp/data/china/image_1882th/76244995.pdf","76244995")</f>
        <v>76244995</v>
      </c>
      <c r="F1592" s="6" t="s">
        <v>4430</v>
      </c>
      <c r="G1592" s="6" t="s">
        <v>4431</v>
      </c>
      <c r="H1592" s="8" t="s">
        <v>4432</v>
      </c>
      <c r="I1592" s="14">
        <v>45299</v>
      </c>
    </row>
    <row r="1593" spans="1:9" x14ac:dyDescent="0.15">
      <c r="A1593" s="5">
        <v>1592</v>
      </c>
      <c r="B1593" s="6" t="s">
        <v>9</v>
      </c>
      <c r="C1593" s="7">
        <v>1882</v>
      </c>
      <c r="D1593" s="8">
        <v>45388</v>
      </c>
      <c r="E1593" s="9" t="str">
        <f>+HYPERLINK("http://trademark.i-assist.jp/data/china/image_1882th/76245412.pdf","76245412")</f>
        <v>76245412</v>
      </c>
      <c r="F1593" s="6" t="s">
        <v>4433</v>
      </c>
      <c r="G1593" s="6" t="s">
        <v>4434</v>
      </c>
      <c r="H1593" s="8" t="s">
        <v>4435</v>
      </c>
      <c r="I1593" s="14">
        <v>45299</v>
      </c>
    </row>
    <row r="1594" spans="1:9" x14ac:dyDescent="0.15">
      <c r="A1594" s="5">
        <v>1593</v>
      </c>
      <c r="B1594" s="6" t="s">
        <v>9</v>
      </c>
      <c r="C1594" s="7">
        <v>1882</v>
      </c>
      <c r="D1594" s="8">
        <v>45388</v>
      </c>
      <c r="E1594" s="9" t="str">
        <f>+HYPERLINK("http://trademark.i-assist.jp/data/china/image_1882th/76245538.pdf","76245538")</f>
        <v>76245538</v>
      </c>
      <c r="F1594" s="6" t="s">
        <v>4436</v>
      </c>
      <c r="G1594" s="6" t="s">
        <v>4437</v>
      </c>
      <c r="H1594" s="8" t="s">
        <v>4438</v>
      </c>
      <c r="I1594" s="14">
        <v>45299</v>
      </c>
    </row>
    <row r="1595" spans="1:9" x14ac:dyDescent="0.15">
      <c r="A1595" s="5">
        <v>1594</v>
      </c>
      <c r="B1595" s="6" t="s">
        <v>9</v>
      </c>
      <c r="C1595" s="7">
        <v>1882</v>
      </c>
      <c r="D1595" s="8">
        <v>45388</v>
      </c>
      <c r="E1595" s="9" t="str">
        <f>+HYPERLINK("http://trademark.i-assist.jp/data/china/image_1882th/76245567.pdf","76245567")</f>
        <v>76245567</v>
      </c>
      <c r="F1595" s="6" t="s">
        <v>4439</v>
      </c>
      <c r="G1595" s="6" t="s">
        <v>4440</v>
      </c>
      <c r="H1595" s="8" t="s">
        <v>4441</v>
      </c>
      <c r="I1595" s="14">
        <v>45299</v>
      </c>
    </row>
    <row r="1596" spans="1:9" x14ac:dyDescent="0.15">
      <c r="A1596" s="5">
        <v>1595</v>
      </c>
      <c r="B1596" s="6" t="s">
        <v>9</v>
      </c>
      <c r="C1596" s="7">
        <v>1882</v>
      </c>
      <c r="D1596" s="8">
        <v>45388</v>
      </c>
      <c r="E1596" s="9" t="str">
        <f>+HYPERLINK("http://trademark.i-assist.jp/data/china/image_1882th/76245673.pdf","76245673")</f>
        <v>76245673</v>
      </c>
      <c r="F1596" s="6" t="s">
        <v>4442</v>
      </c>
      <c r="G1596" s="6" t="s">
        <v>2243</v>
      </c>
      <c r="H1596" s="8" t="s">
        <v>4443</v>
      </c>
      <c r="I1596" s="14">
        <v>45299</v>
      </c>
    </row>
    <row r="1597" spans="1:9" x14ac:dyDescent="0.15">
      <c r="A1597" s="5">
        <v>1596</v>
      </c>
      <c r="B1597" s="6" t="s">
        <v>9</v>
      </c>
      <c r="C1597" s="7">
        <v>1882</v>
      </c>
      <c r="D1597" s="8">
        <v>45388</v>
      </c>
      <c r="E1597" s="9" t="str">
        <f>+HYPERLINK("http://trademark.i-assist.jp/data/china/image_1882th/76245769.pdf","76245769")</f>
        <v>76245769</v>
      </c>
      <c r="F1597" s="6" t="s">
        <v>4444</v>
      </c>
      <c r="G1597" s="6" t="s">
        <v>4445</v>
      </c>
      <c r="H1597" s="8" t="s">
        <v>4446</v>
      </c>
      <c r="I1597" s="14">
        <v>45299</v>
      </c>
    </row>
    <row r="1598" spans="1:9" x14ac:dyDescent="0.15">
      <c r="A1598" s="5">
        <v>1597</v>
      </c>
      <c r="B1598" s="6" t="s">
        <v>9</v>
      </c>
      <c r="C1598" s="7">
        <v>1882</v>
      </c>
      <c r="D1598" s="8">
        <v>45388</v>
      </c>
      <c r="E1598" s="9" t="str">
        <f>+HYPERLINK("http://trademark.i-assist.jp/data/china/image_1882th/76245903.pdf","76245903")</f>
        <v>76245903</v>
      </c>
      <c r="F1598" s="6" t="s">
        <v>4447</v>
      </c>
      <c r="G1598" s="6" t="s">
        <v>4448</v>
      </c>
      <c r="H1598" s="8" t="s">
        <v>4449</v>
      </c>
      <c r="I1598" s="14">
        <v>45299</v>
      </c>
    </row>
    <row r="1599" spans="1:9" x14ac:dyDescent="0.15">
      <c r="A1599" s="5">
        <v>1598</v>
      </c>
      <c r="B1599" s="6" t="s">
        <v>9</v>
      </c>
      <c r="C1599" s="7">
        <v>1882</v>
      </c>
      <c r="D1599" s="8">
        <v>45388</v>
      </c>
      <c r="E1599" s="9" t="str">
        <f>+HYPERLINK("http://trademark.i-assist.jp/data/china/image_1882th/76245905.pdf","76245905")</f>
        <v>76245905</v>
      </c>
      <c r="F1599" s="6" t="s">
        <v>4450</v>
      </c>
      <c r="G1599" s="6" t="s">
        <v>4341</v>
      </c>
      <c r="H1599" s="8" t="s">
        <v>4451</v>
      </c>
      <c r="I1599" s="14">
        <v>45299</v>
      </c>
    </row>
    <row r="1600" spans="1:9" x14ac:dyDescent="0.15">
      <c r="A1600" s="5">
        <v>1599</v>
      </c>
      <c r="B1600" s="6" t="s">
        <v>9</v>
      </c>
      <c r="C1600" s="7">
        <v>1882</v>
      </c>
      <c r="D1600" s="8">
        <v>45388</v>
      </c>
      <c r="E1600" s="9" t="str">
        <f>+HYPERLINK("http://trademark.i-assist.jp/data/china/image_1882th/76245954.pdf","76245954")</f>
        <v>76245954</v>
      </c>
      <c r="F1600" s="6" t="s">
        <v>4452</v>
      </c>
      <c r="G1600" s="6" t="s">
        <v>4453</v>
      </c>
      <c r="H1600" s="8" t="s">
        <v>4454</v>
      </c>
      <c r="I1600" s="14">
        <v>45299</v>
      </c>
    </row>
    <row r="1601" spans="1:9" x14ac:dyDescent="0.15">
      <c r="A1601" s="5">
        <v>1600</v>
      </c>
      <c r="B1601" s="6" t="s">
        <v>9</v>
      </c>
      <c r="C1601" s="7">
        <v>1882</v>
      </c>
      <c r="D1601" s="8">
        <v>45388</v>
      </c>
      <c r="E1601" s="9" t="str">
        <f>+HYPERLINK("http://trademark.i-assist.jp/data/china/image_1882th/76246015.pdf","76246015")</f>
        <v>76246015</v>
      </c>
      <c r="F1601" s="6" t="s">
        <v>4455</v>
      </c>
      <c r="G1601" s="6" t="s">
        <v>4456</v>
      </c>
      <c r="H1601" s="8" t="s">
        <v>4457</v>
      </c>
      <c r="I1601" s="14">
        <v>45299</v>
      </c>
    </row>
    <row r="1602" spans="1:9" x14ac:dyDescent="0.15">
      <c r="A1602" s="5">
        <v>1601</v>
      </c>
      <c r="B1602" s="6" t="s">
        <v>9</v>
      </c>
      <c r="C1602" s="7">
        <v>1882</v>
      </c>
      <c r="D1602" s="8">
        <v>45388</v>
      </c>
      <c r="E1602" s="9" t="str">
        <f>+HYPERLINK("http://trademark.i-assist.jp/data/china/image_1882th/76246293.pdf","76246293")</f>
        <v>76246293</v>
      </c>
      <c r="F1602" s="6" t="s">
        <v>4458</v>
      </c>
      <c r="G1602" s="6" t="s">
        <v>4459</v>
      </c>
      <c r="H1602" s="8" t="s">
        <v>4460</v>
      </c>
      <c r="I1602" s="14">
        <v>45299</v>
      </c>
    </row>
    <row r="1603" spans="1:9" x14ac:dyDescent="0.15">
      <c r="A1603" s="5">
        <v>1602</v>
      </c>
      <c r="B1603" s="6" t="s">
        <v>9</v>
      </c>
      <c r="C1603" s="7">
        <v>1882</v>
      </c>
      <c r="D1603" s="8">
        <v>45388</v>
      </c>
      <c r="E1603" s="9" t="str">
        <f>+HYPERLINK("http://trademark.i-assist.jp/data/china/image_1882th/76246363.pdf","76246363")</f>
        <v>76246363</v>
      </c>
      <c r="F1603" s="6" t="s">
        <v>4461</v>
      </c>
      <c r="G1603" s="6" t="s">
        <v>4462</v>
      </c>
      <c r="H1603" s="8" t="s">
        <v>4463</v>
      </c>
      <c r="I1603" s="14">
        <v>45299</v>
      </c>
    </row>
    <row r="1604" spans="1:9" x14ac:dyDescent="0.15">
      <c r="A1604" s="5">
        <v>1603</v>
      </c>
      <c r="B1604" s="6" t="s">
        <v>9</v>
      </c>
      <c r="C1604" s="7">
        <v>1882</v>
      </c>
      <c r="D1604" s="8">
        <v>45388</v>
      </c>
      <c r="E1604" s="9" t="str">
        <f>+HYPERLINK("http://trademark.i-assist.jp/data/china/image_1882th/76246441.pdf","76246441")</f>
        <v>76246441</v>
      </c>
      <c r="F1604" s="6" t="s">
        <v>4464</v>
      </c>
      <c r="G1604" s="6" t="s">
        <v>4465</v>
      </c>
      <c r="H1604" s="8" t="s">
        <v>4466</v>
      </c>
      <c r="I1604" s="14">
        <v>45299</v>
      </c>
    </row>
    <row r="1605" spans="1:9" x14ac:dyDescent="0.15">
      <c r="A1605" s="5">
        <v>1604</v>
      </c>
      <c r="B1605" s="6" t="s">
        <v>9</v>
      </c>
      <c r="C1605" s="7">
        <v>1882</v>
      </c>
      <c r="D1605" s="8">
        <v>45388</v>
      </c>
      <c r="E1605" s="9" t="str">
        <f>+HYPERLINK("http://trademark.i-assist.jp/data/china/image_1882th/76247131.pdf","76247131")</f>
        <v>76247131</v>
      </c>
      <c r="F1605" s="6" t="s">
        <v>4467</v>
      </c>
      <c r="G1605" s="6" t="s">
        <v>4468</v>
      </c>
      <c r="H1605" s="8" t="s">
        <v>4469</v>
      </c>
      <c r="I1605" s="14">
        <v>45299</v>
      </c>
    </row>
    <row r="1606" spans="1:9" x14ac:dyDescent="0.15">
      <c r="A1606" s="5">
        <v>1605</v>
      </c>
      <c r="B1606" s="6" t="s">
        <v>9</v>
      </c>
      <c r="C1606" s="7">
        <v>1882</v>
      </c>
      <c r="D1606" s="8">
        <v>45388</v>
      </c>
      <c r="E1606" s="9" t="str">
        <f>+HYPERLINK("http://trademark.i-assist.jp/data/china/image_1882th/76247138.pdf","76247138")</f>
        <v>76247138</v>
      </c>
      <c r="F1606" s="6" t="s">
        <v>4470</v>
      </c>
      <c r="G1606" s="6" t="s">
        <v>4471</v>
      </c>
      <c r="H1606" s="8" t="s">
        <v>4472</v>
      </c>
      <c r="I1606" s="14">
        <v>45299</v>
      </c>
    </row>
    <row r="1607" spans="1:9" x14ac:dyDescent="0.15">
      <c r="A1607" s="5">
        <v>1606</v>
      </c>
      <c r="B1607" s="6" t="s">
        <v>9</v>
      </c>
      <c r="C1607" s="7">
        <v>1882</v>
      </c>
      <c r="D1607" s="8">
        <v>45388</v>
      </c>
      <c r="E1607" s="9" t="str">
        <f>+HYPERLINK("http://trademark.i-assist.jp/data/china/image_1882th/76247395.pdf","76247395")</f>
        <v>76247395</v>
      </c>
      <c r="F1607" s="6" t="s">
        <v>4473</v>
      </c>
      <c r="G1607" s="6" t="s">
        <v>4474</v>
      </c>
      <c r="H1607" s="8" t="s">
        <v>4475</v>
      </c>
      <c r="I1607" s="14">
        <v>45299</v>
      </c>
    </row>
    <row r="1608" spans="1:9" x14ac:dyDescent="0.15">
      <c r="A1608" s="5">
        <v>1607</v>
      </c>
      <c r="B1608" s="6" t="s">
        <v>9</v>
      </c>
      <c r="C1608" s="7">
        <v>1882</v>
      </c>
      <c r="D1608" s="8">
        <v>45388</v>
      </c>
      <c r="E1608" s="9" t="str">
        <f>+HYPERLINK("http://trademark.i-assist.jp/data/china/image_1882th/76247615.pdf","76247615")</f>
        <v>76247615</v>
      </c>
      <c r="F1608" s="6" t="s">
        <v>26</v>
      </c>
      <c r="G1608" s="6" t="s">
        <v>4476</v>
      </c>
      <c r="H1608" s="8" t="s">
        <v>4477</v>
      </c>
      <c r="I1608" s="14">
        <v>45299</v>
      </c>
    </row>
    <row r="1609" spans="1:9" x14ac:dyDescent="0.15">
      <c r="A1609" s="5">
        <v>1608</v>
      </c>
      <c r="B1609" s="6" t="s">
        <v>9</v>
      </c>
      <c r="C1609" s="7">
        <v>1882</v>
      </c>
      <c r="D1609" s="8">
        <v>45388</v>
      </c>
      <c r="E1609" s="9" t="str">
        <f>+HYPERLINK("http://trademark.i-assist.jp/data/china/image_1882th/76247671.pdf","76247671")</f>
        <v>76247671</v>
      </c>
      <c r="F1609" s="6" t="s">
        <v>4478</v>
      </c>
      <c r="G1609" s="6" t="s">
        <v>4479</v>
      </c>
      <c r="H1609" s="8" t="s">
        <v>4480</v>
      </c>
      <c r="I1609" s="14">
        <v>45299</v>
      </c>
    </row>
    <row r="1610" spans="1:9" x14ac:dyDescent="0.15">
      <c r="A1610" s="5">
        <v>1609</v>
      </c>
      <c r="B1610" s="6" t="s">
        <v>9</v>
      </c>
      <c r="C1610" s="7">
        <v>1882</v>
      </c>
      <c r="D1610" s="8">
        <v>45388</v>
      </c>
      <c r="E1610" s="9" t="str">
        <f>+HYPERLINK("http://trademark.i-assist.jp/data/china/image_1882th/76247695.pdf","76247695")</f>
        <v>76247695</v>
      </c>
      <c r="F1610" s="6" t="s">
        <v>4481</v>
      </c>
      <c r="G1610" s="6" t="s">
        <v>4482</v>
      </c>
      <c r="H1610" s="8" t="s">
        <v>4483</v>
      </c>
      <c r="I1610" s="14">
        <v>45299</v>
      </c>
    </row>
    <row r="1611" spans="1:9" x14ac:dyDescent="0.15">
      <c r="A1611" s="5">
        <v>1610</v>
      </c>
      <c r="B1611" s="6" t="s">
        <v>9</v>
      </c>
      <c r="C1611" s="7">
        <v>1882</v>
      </c>
      <c r="D1611" s="8">
        <v>45388</v>
      </c>
      <c r="E1611" s="9" t="str">
        <f>+HYPERLINK("http://trademark.i-assist.jp/data/china/image_1882th/76247723.pdf","76247723")</f>
        <v>76247723</v>
      </c>
      <c r="F1611" s="6" t="s">
        <v>4484</v>
      </c>
      <c r="G1611" s="6" t="s">
        <v>4485</v>
      </c>
      <c r="H1611" s="8" t="s">
        <v>4486</v>
      </c>
      <c r="I1611" s="14">
        <v>45299</v>
      </c>
    </row>
    <row r="1612" spans="1:9" x14ac:dyDescent="0.15">
      <c r="A1612" s="5">
        <v>1611</v>
      </c>
      <c r="B1612" s="6" t="s">
        <v>9</v>
      </c>
      <c r="C1612" s="7">
        <v>1882</v>
      </c>
      <c r="D1612" s="8">
        <v>45388</v>
      </c>
      <c r="E1612" s="9" t="str">
        <f>+HYPERLINK("http://trademark.i-assist.jp/data/china/image_1882th/76247823.pdf","76247823")</f>
        <v>76247823</v>
      </c>
      <c r="F1612" s="6" t="s">
        <v>26</v>
      </c>
      <c r="G1612" s="6" t="s">
        <v>4487</v>
      </c>
      <c r="H1612" s="8" t="s">
        <v>4488</v>
      </c>
      <c r="I1612" s="14">
        <v>45299</v>
      </c>
    </row>
    <row r="1613" spans="1:9" x14ac:dyDescent="0.15">
      <c r="A1613" s="5">
        <v>1612</v>
      </c>
      <c r="B1613" s="6" t="s">
        <v>9</v>
      </c>
      <c r="C1613" s="7">
        <v>1882</v>
      </c>
      <c r="D1613" s="8">
        <v>45388</v>
      </c>
      <c r="E1613" s="9" t="str">
        <f>+HYPERLINK("http://trademark.i-assist.jp/data/china/image_1882th/76247829.pdf","76247829")</f>
        <v>76247829</v>
      </c>
      <c r="F1613" s="6" t="s">
        <v>4489</v>
      </c>
      <c r="G1613" s="6" t="s">
        <v>4490</v>
      </c>
      <c r="H1613" s="8" t="s">
        <v>4491</v>
      </c>
      <c r="I1613" s="14">
        <v>45299</v>
      </c>
    </row>
    <row r="1614" spans="1:9" x14ac:dyDescent="0.15">
      <c r="A1614" s="5">
        <v>1613</v>
      </c>
      <c r="B1614" s="6" t="s">
        <v>9</v>
      </c>
      <c r="C1614" s="7">
        <v>1882</v>
      </c>
      <c r="D1614" s="8">
        <v>45388</v>
      </c>
      <c r="E1614" s="9" t="str">
        <f>+HYPERLINK("http://trademark.i-assist.jp/data/china/image_1882th/76248059.pdf","76248059")</f>
        <v>76248059</v>
      </c>
      <c r="F1614" s="6" t="s">
        <v>4492</v>
      </c>
      <c r="G1614" s="6" t="s">
        <v>4493</v>
      </c>
      <c r="H1614" s="8" t="s">
        <v>4494</v>
      </c>
      <c r="I1614" s="14">
        <v>45299</v>
      </c>
    </row>
    <row r="1615" spans="1:9" x14ac:dyDescent="0.15">
      <c r="A1615" s="5">
        <v>1614</v>
      </c>
      <c r="B1615" s="6" t="s">
        <v>9</v>
      </c>
      <c r="C1615" s="7">
        <v>1882</v>
      </c>
      <c r="D1615" s="8">
        <v>45388</v>
      </c>
      <c r="E1615" s="9" t="str">
        <f>+HYPERLINK("http://trademark.i-assist.jp/data/china/image_1882th/76248094.pdf","76248094")</f>
        <v>76248094</v>
      </c>
      <c r="F1615" s="6" t="s">
        <v>4495</v>
      </c>
      <c r="G1615" s="6" t="s">
        <v>3639</v>
      </c>
      <c r="H1615" s="8" t="s">
        <v>4496</v>
      </c>
      <c r="I1615" s="14">
        <v>45299</v>
      </c>
    </row>
    <row r="1616" spans="1:9" x14ac:dyDescent="0.15">
      <c r="A1616" s="5">
        <v>1615</v>
      </c>
      <c r="B1616" s="6" t="s">
        <v>9</v>
      </c>
      <c r="C1616" s="7">
        <v>1882</v>
      </c>
      <c r="D1616" s="8">
        <v>45388</v>
      </c>
      <c r="E1616" s="9" t="str">
        <f>+HYPERLINK("http://trademark.i-assist.jp/data/china/image_1882th/76248111.pdf","76248111")</f>
        <v>76248111</v>
      </c>
      <c r="F1616" s="6" t="s">
        <v>4497</v>
      </c>
      <c r="G1616" s="6" t="s">
        <v>4498</v>
      </c>
      <c r="H1616" s="8" t="s">
        <v>4499</v>
      </c>
      <c r="I1616" s="14">
        <v>45299</v>
      </c>
    </row>
    <row r="1617" spans="1:9" x14ac:dyDescent="0.15">
      <c r="A1617" s="5">
        <v>1616</v>
      </c>
      <c r="B1617" s="6" t="s">
        <v>9</v>
      </c>
      <c r="C1617" s="7">
        <v>1882</v>
      </c>
      <c r="D1617" s="8">
        <v>45388</v>
      </c>
      <c r="E1617" s="9" t="str">
        <f>+HYPERLINK("http://trademark.i-assist.jp/data/china/image_1882th/76248226.pdf","76248226")</f>
        <v>76248226</v>
      </c>
      <c r="F1617" s="6" t="s">
        <v>4500</v>
      </c>
      <c r="G1617" s="6" t="s">
        <v>4501</v>
      </c>
      <c r="H1617" s="8" t="s">
        <v>4502</v>
      </c>
      <c r="I1617" s="14">
        <v>45299</v>
      </c>
    </row>
    <row r="1618" spans="1:9" x14ac:dyDescent="0.15">
      <c r="A1618" s="5">
        <v>1617</v>
      </c>
      <c r="B1618" s="6" t="s">
        <v>9</v>
      </c>
      <c r="C1618" s="7">
        <v>1882</v>
      </c>
      <c r="D1618" s="8">
        <v>45388</v>
      </c>
      <c r="E1618" s="9" t="str">
        <f>+HYPERLINK("http://trademark.i-assist.jp/data/china/image_1882th/76248241.pdf","76248241")</f>
        <v>76248241</v>
      </c>
      <c r="F1618" s="6" t="s">
        <v>4503</v>
      </c>
      <c r="G1618" s="6" t="s">
        <v>4504</v>
      </c>
      <c r="H1618" s="8" t="s">
        <v>4505</v>
      </c>
      <c r="I1618" s="14">
        <v>45299</v>
      </c>
    </row>
    <row r="1619" spans="1:9" x14ac:dyDescent="0.15">
      <c r="A1619" s="5">
        <v>1618</v>
      </c>
      <c r="B1619" s="6" t="s">
        <v>9</v>
      </c>
      <c r="C1619" s="7">
        <v>1882</v>
      </c>
      <c r="D1619" s="8">
        <v>45388</v>
      </c>
      <c r="E1619" s="9" t="str">
        <f>+HYPERLINK("http://trademark.i-assist.jp/data/china/image_1882th/76248331.pdf","76248331")</f>
        <v>76248331</v>
      </c>
      <c r="F1619" s="6" t="s">
        <v>4506</v>
      </c>
      <c r="G1619" s="6" t="s">
        <v>4507</v>
      </c>
      <c r="H1619" s="8" t="s">
        <v>4508</v>
      </c>
      <c r="I1619" s="14">
        <v>45299</v>
      </c>
    </row>
    <row r="1620" spans="1:9" x14ac:dyDescent="0.15">
      <c r="A1620" s="5">
        <v>1619</v>
      </c>
      <c r="B1620" s="6" t="s">
        <v>9</v>
      </c>
      <c r="C1620" s="7">
        <v>1882</v>
      </c>
      <c r="D1620" s="8">
        <v>45388</v>
      </c>
      <c r="E1620" s="9" t="str">
        <f>+HYPERLINK("http://trademark.i-assist.jp/data/china/image_1882th/76248511.pdf","76248511")</f>
        <v>76248511</v>
      </c>
      <c r="F1620" s="6" t="s">
        <v>4509</v>
      </c>
      <c r="G1620" s="6" t="s">
        <v>4510</v>
      </c>
      <c r="H1620" s="8" t="s">
        <v>4511</v>
      </c>
      <c r="I1620" s="14">
        <v>45299</v>
      </c>
    </row>
    <row r="1621" spans="1:9" x14ac:dyDescent="0.15">
      <c r="A1621" s="5">
        <v>1620</v>
      </c>
      <c r="B1621" s="6" t="s">
        <v>9</v>
      </c>
      <c r="C1621" s="7">
        <v>1882</v>
      </c>
      <c r="D1621" s="8">
        <v>45388</v>
      </c>
      <c r="E1621" s="9" t="str">
        <f>+HYPERLINK("http://trademark.i-assist.jp/data/china/image_1882th/76248804.pdf","76248804")</f>
        <v>76248804</v>
      </c>
      <c r="F1621" s="6" t="s">
        <v>4512</v>
      </c>
      <c r="G1621" s="6" t="s">
        <v>4513</v>
      </c>
      <c r="H1621" s="8" t="s">
        <v>4514</v>
      </c>
      <c r="I1621" s="14">
        <v>45299</v>
      </c>
    </row>
    <row r="1622" spans="1:9" x14ac:dyDescent="0.15">
      <c r="A1622" s="5">
        <v>1621</v>
      </c>
      <c r="B1622" s="6" t="s">
        <v>9</v>
      </c>
      <c r="C1622" s="7">
        <v>1882</v>
      </c>
      <c r="D1622" s="8">
        <v>45388</v>
      </c>
      <c r="E1622" s="9" t="str">
        <f>+HYPERLINK("http://trademark.i-assist.jp/data/china/image_1882th/76248924.pdf","76248924")</f>
        <v>76248924</v>
      </c>
      <c r="F1622" s="6" t="s">
        <v>4515</v>
      </c>
      <c r="G1622" s="6" t="s">
        <v>4516</v>
      </c>
      <c r="H1622" s="8" t="s">
        <v>4517</v>
      </c>
      <c r="I1622" s="14">
        <v>45299</v>
      </c>
    </row>
    <row r="1623" spans="1:9" x14ac:dyDescent="0.15">
      <c r="A1623" s="5">
        <v>1622</v>
      </c>
      <c r="B1623" s="6" t="s">
        <v>9</v>
      </c>
      <c r="C1623" s="7">
        <v>1882</v>
      </c>
      <c r="D1623" s="8">
        <v>45388</v>
      </c>
      <c r="E1623" s="9" t="str">
        <f>+HYPERLINK("http://trademark.i-assist.jp/data/china/image_1882th/76249253.pdf","76249253")</f>
        <v>76249253</v>
      </c>
      <c r="F1623" s="6" t="s">
        <v>4518</v>
      </c>
      <c r="G1623" s="6" t="s">
        <v>4519</v>
      </c>
      <c r="H1623" s="8" t="s">
        <v>4520</v>
      </c>
      <c r="I1623" s="14">
        <v>45299</v>
      </c>
    </row>
    <row r="1624" spans="1:9" x14ac:dyDescent="0.15">
      <c r="A1624" s="5">
        <v>1623</v>
      </c>
      <c r="B1624" s="6" t="s">
        <v>9</v>
      </c>
      <c r="C1624" s="7">
        <v>1882</v>
      </c>
      <c r="D1624" s="8">
        <v>45388</v>
      </c>
      <c r="E1624" s="9" t="str">
        <f>+HYPERLINK("http://trademark.i-assist.jp/data/china/image_1882th/76249475.pdf","76249475")</f>
        <v>76249475</v>
      </c>
      <c r="F1624" s="6" t="s">
        <v>4521</v>
      </c>
      <c r="G1624" s="6" t="s">
        <v>4522</v>
      </c>
      <c r="H1624" s="8" t="s">
        <v>4523</v>
      </c>
      <c r="I1624" s="14">
        <v>45299</v>
      </c>
    </row>
    <row r="1625" spans="1:9" x14ac:dyDescent="0.15">
      <c r="A1625" s="5">
        <v>1624</v>
      </c>
      <c r="B1625" s="6" t="s">
        <v>9</v>
      </c>
      <c r="C1625" s="7">
        <v>1882</v>
      </c>
      <c r="D1625" s="8">
        <v>45388</v>
      </c>
      <c r="E1625" s="9" t="str">
        <f>+HYPERLINK("http://trademark.i-assist.jp/data/china/image_1882th/76249643.pdf","76249643")</f>
        <v>76249643</v>
      </c>
      <c r="F1625" s="6" t="s">
        <v>4524</v>
      </c>
      <c r="G1625" s="6" t="s">
        <v>4525</v>
      </c>
      <c r="H1625" s="8" t="s">
        <v>4526</v>
      </c>
      <c r="I1625" s="14">
        <v>45299</v>
      </c>
    </row>
    <row r="1626" spans="1:9" x14ac:dyDescent="0.15">
      <c r="A1626" s="5">
        <v>1625</v>
      </c>
      <c r="B1626" s="6" t="s">
        <v>9</v>
      </c>
      <c r="C1626" s="7">
        <v>1882</v>
      </c>
      <c r="D1626" s="8">
        <v>45388</v>
      </c>
      <c r="E1626" s="9" t="str">
        <f>+HYPERLINK("http://trademark.i-assist.jp/data/china/image_1882th/76249657.pdf","76249657")</f>
        <v>76249657</v>
      </c>
      <c r="F1626" s="6" t="s">
        <v>4527</v>
      </c>
      <c r="G1626" s="6" t="s">
        <v>4528</v>
      </c>
      <c r="H1626" s="8" t="s">
        <v>4529</v>
      </c>
      <c r="I1626" s="14">
        <v>45299</v>
      </c>
    </row>
    <row r="1627" spans="1:9" x14ac:dyDescent="0.15">
      <c r="A1627" s="5">
        <v>1626</v>
      </c>
      <c r="B1627" s="6" t="s">
        <v>9</v>
      </c>
      <c r="C1627" s="7">
        <v>1882</v>
      </c>
      <c r="D1627" s="8">
        <v>45388</v>
      </c>
      <c r="E1627" s="9" t="str">
        <f>+HYPERLINK("http://trademark.i-assist.jp/data/china/image_1882th/76249734.pdf","76249734")</f>
        <v>76249734</v>
      </c>
      <c r="F1627" s="6" t="s">
        <v>4530</v>
      </c>
      <c r="G1627" s="6" t="s">
        <v>4349</v>
      </c>
      <c r="H1627" s="8" t="s">
        <v>4531</v>
      </c>
      <c r="I1627" s="14">
        <v>45299</v>
      </c>
    </row>
    <row r="1628" spans="1:9" x14ac:dyDescent="0.15">
      <c r="A1628" s="5">
        <v>1627</v>
      </c>
      <c r="B1628" s="6" t="s">
        <v>9</v>
      </c>
      <c r="C1628" s="7">
        <v>1882</v>
      </c>
      <c r="D1628" s="8">
        <v>45388</v>
      </c>
      <c r="E1628" s="9" t="str">
        <f>+HYPERLINK("http://trademark.i-assist.jp/data/china/image_1882th/76249932.pdf","76249932")</f>
        <v>76249932</v>
      </c>
      <c r="F1628" s="6" t="s">
        <v>4532</v>
      </c>
      <c r="G1628" s="6" t="s">
        <v>4533</v>
      </c>
      <c r="H1628" s="8" t="s">
        <v>4534</v>
      </c>
      <c r="I1628" s="14">
        <v>45299</v>
      </c>
    </row>
    <row r="1629" spans="1:9" x14ac:dyDescent="0.15">
      <c r="A1629" s="5">
        <v>1628</v>
      </c>
      <c r="B1629" s="6" t="s">
        <v>9</v>
      </c>
      <c r="C1629" s="7">
        <v>1882</v>
      </c>
      <c r="D1629" s="8">
        <v>45388</v>
      </c>
      <c r="E1629" s="9" t="str">
        <f>+HYPERLINK("http://trademark.i-assist.jp/data/china/image_1882th/76250103.pdf","76250103")</f>
        <v>76250103</v>
      </c>
      <c r="F1629" s="6" t="s">
        <v>4535</v>
      </c>
      <c r="G1629" s="6" t="s">
        <v>2872</v>
      </c>
      <c r="H1629" s="8" t="s">
        <v>4536</v>
      </c>
      <c r="I1629" s="14">
        <v>45299</v>
      </c>
    </row>
    <row r="1630" spans="1:9" x14ac:dyDescent="0.15">
      <c r="A1630" s="5">
        <v>1629</v>
      </c>
      <c r="B1630" s="6" t="s">
        <v>9</v>
      </c>
      <c r="C1630" s="7">
        <v>1882</v>
      </c>
      <c r="D1630" s="8">
        <v>45388</v>
      </c>
      <c r="E1630" s="9" t="str">
        <f>+HYPERLINK("http://trademark.i-assist.jp/data/china/image_1882th/76250155.pdf","76250155")</f>
        <v>76250155</v>
      </c>
      <c r="F1630" s="6" t="s">
        <v>4537</v>
      </c>
      <c r="G1630" s="6" t="s">
        <v>4538</v>
      </c>
      <c r="H1630" s="8" t="s">
        <v>4539</v>
      </c>
      <c r="I1630" s="14">
        <v>45299</v>
      </c>
    </row>
    <row r="1631" spans="1:9" x14ac:dyDescent="0.15">
      <c r="A1631" s="5">
        <v>1630</v>
      </c>
      <c r="B1631" s="6" t="s">
        <v>9</v>
      </c>
      <c r="C1631" s="7">
        <v>1882</v>
      </c>
      <c r="D1631" s="8">
        <v>45388</v>
      </c>
      <c r="E1631" s="9" t="str">
        <f>+HYPERLINK("http://trademark.i-assist.jp/data/china/image_1882th/76250171.pdf","76250171")</f>
        <v>76250171</v>
      </c>
      <c r="F1631" s="6" t="s">
        <v>4540</v>
      </c>
      <c r="G1631" s="6" t="s">
        <v>4541</v>
      </c>
      <c r="H1631" s="8" t="s">
        <v>4542</v>
      </c>
      <c r="I1631" s="14">
        <v>45299</v>
      </c>
    </row>
    <row r="1632" spans="1:9" x14ac:dyDescent="0.15">
      <c r="A1632" s="5">
        <v>1631</v>
      </c>
      <c r="B1632" s="6" t="s">
        <v>9</v>
      </c>
      <c r="C1632" s="7">
        <v>1882</v>
      </c>
      <c r="D1632" s="8">
        <v>45388</v>
      </c>
      <c r="E1632" s="9" t="str">
        <f>+HYPERLINK("http://trademark.i-assist.jp/data/china/image_1882th/76250224.pdf","76250224")</f>
        <v>76250224</v>
      </c>
      <c r="F1632" s="6" t="s">
        <v>4543</v>
      </c>
      <c r="G1632" s="6" t="s">
        <v>4544</v>
      </c>
      <c r="H1632" s="8" t="s">
        <v>4545</v>
      </c>
      <c r="I1632" s="14">
        <v>45299</v>
      </c>
    </row>
    <row r="1633" spans="1:9" x14ac:dyDescent="0.15">
      <c r="A1633" s="5">
        <v>1632</v>
      </c>
      <c r="B1633" s="6" t="s">
        <v>9</v>
      </c>
      <c r="C1633" s="7">
        <v>1882</v>
      </c>
      <c r="D1633" s="8">
        <v>45388</v>
      </c>
      <c r="E1633" s="9" t="str">
        <f>+HYPERLINK("http://trademark.i-assist.jp/data/china/image_1882th/76250238.pdf","76250238")</f>
        <v>76250238</v>
      </c>
      <c r="F1633" s="6" t="s">
        <v>4546</v>
      </c>
      <c r="G1633" s="6" t="s">
        <v>4547</v>
      </c>
      <c r="H1633" s="8" t="s">
        <v>4548</v>
      </c>
      <c r="I1633" s="14">
        <v>45299</v>
      </c>
    </row>
    <row r="1634" spans="1:9" x14ac:dyDescent="0.15">
      <c r="A1634" s="5">
        <v>1633</v>
      </c>
      <c r="B1634" s="6" t="s">
        <v>9</v>
      </c>
      <c r="C1634" s="7">
        <v>1882</v>
      </c>
      <c r="D1634" s="8">
        <v>45388</v>
      </c>
      <c r="E1634" s="9" t="str">
        <f>+HYPERLINK("http://trademark.i-assist.jp/data/china/image_1882th/76250258.pdf","76250258")</f>
        <v>76250258</v>
      </c>
      <c r="F1634" s="6" t="s">
        <v>4549</v>
      </c>
      <c r="G1634" s="6" t="s">
        <v>4550</v>
      </c>
      <c r="H1634" s="8" t="s">
        <v>4551</v>
      </c>
      <c r="I1634" s="14">
        <v>45299</v>
      </c>
    </row>
    <row r="1635" spans="1:9" x14ac:dyDescent="0.15">
      <c r="A1635" s="5">
        <v>1634</v>
      </c>
      <c r="B1635" s="6" t="s">
        <v>9</v>
      </c>
      <c r="C1635" s="7">
        <v>1882</v>
      </c>
      <c r="D1635" s="8">
        <v>45388</v>
      </c>
      <c r="E1635" s="9" t="str">
        <f>+HYPERLINK("http://trademark.i-assist.jp/data/china/image_1882th/76250275.pdf","76250275")</f>
        <v>76250275</v>
      </c>
      <c r="F1635" s="6" t="s">
        <v>4552</v>
      </c>
      <c r="G1635" s="6" t="s">
        <v>4395</v>
      </c>
      <c r="H1635" s="8" t="s">
        <v>4553</v>
      </c>
      <c r="I1635" s="14">
        <v>45299</v>
      </c>
    </row>
    <row r="1636" spans="1:9" x14ac:dyDescent="0.15">
      <c r="A1636" s="5">
        <v>1635</v>
      </c>
      <c r="B1636" s="6" t="s">
        <v>9</v>
      </c>
      <c r="C1636" s="7">
        <v>1882</v>
      </c>
      <c r="D1636" s="8">
        <v>45388</v>
      </c>
      <c r="E1636" s="9" t="str">
        <f>+HYPERLINK("http://trademark.i-assist.jp/data/china/image_1882th/76250572.pdf","76250572")</f>
        <v>76250572</v>
      </c>
      <c r="F1636" s="6" t="s">
        <v>4554</v>
      </c>
      <c r="G1636" s="6" t="s">
        <v>4555</v>
      </c>
      <c r="H1636" s="8" t="s">
        <v>4556</v>
      </c>
      <c r="I1636" s="14">
        <v>45299</v>
      </c>
    </row>
    <row r="1637" spans="1:9" x14ac:dyDescent="0.15">
      <c r="A1637" s="5">
        <v>1636</v>
      </c>
      <c r="B1637" s="6" t="s">
        <v>9</v>
      </c>
      <c r="C1637" s="7">
        <v>1882</v>
      </c>
      <c r="D1637" s="8">
        <v>45388</v>
      </c>
      <c r="E1637" s="9" t="str">
        <f>+HYPERLINK("http://trademark.i-assist.jp/data/china/image_1882th/76250589.pdf","76250589")</f>
        <v>76250589</v>
      </c>
      <c r="F1637" s="6" t="s">
        <v>4557</v>
      </c>
      <c r="G1637" s="6" t="s">
        <v>4555</v>
      </c>
      <c r="H1637" s="8" t="s">
        <v>4558</v>
      </c>
      <c r="I1637" s="14">
        <v>45299</v>
      </c>
    </row>
    <row r="1638" spans="1:9" x14ac:dyDescent="0.15">
      <c r="A1638" s="5">
        <v>1637</v>
      </c>
      <c r="B1638" s="6" t="s">
        <v>9</v>
      </c>
      <c r="C1638" s="7">
        <v>1882</v>
      </c>
      <c r="D1638" s="8">
        <v>45388</v>
      </c>
      <c r="E1638" s="9" t="str">
        <f>+HYPERLINK("http://trademark.i-assist.jp/data/china/image_1882th/76250603.pdf","76250603")</f>
        <v>76250603</v>
      </c>
      <c r="F1638" s="6" t="s">
        <v>4559</v>
      </c>
      <c r="G1638" s="6" t="s">
        <v>4560</v>
      </c>
      <c r="H1638" s="8" t="s">
        <v>4561</v>
      </c>
      <c r="I1638" s="14">
        <v>45299</v>
      </c>
    </row>
    <row r="1639" spans="1:9" x14ac:dyDescent="0.15">
      <c r="A1639" s="5">
        <v>1638</v>
      </c>
      <c r="B1639" s="6" t="s">
        <v>9</v>
      </c>
      <c r="C1639" s="7">
        <v>1882</v>
      </c>
      <c r="D1639" s="8">
        <v>45388</v>
      </c>
      <c r="E1639" s="9" t="str">
        <f>+HYPERLINK("http://trademark.i-assist.jp/data/china/image_1882th/76250669.pdf","76250669")</f>
        <v>76250669</v>
      </c>
      <c r="F1639" s="6" t="s">
        <v>4562</v>
      </c>
      <c r="G1639" s="6" t="s">
        <v>4563</v>
      </c>
      <c r="H1639" s="8" t="s">
        <v>4564</v>
      </c>
      <c r="I1639" s="14">
        <v>45299</v>
      </c>
    </row>
    <row r="1640" spans="1:9" x14ac:dyDescent="0.15">
      <c r="A1640" s="5">
        <v>1639</v>
      </c>
      <c r="B1640" s="6" t="s">
        <v>9</v>
      </c>
      <c r="C1640" s="7">
        <v>1882</v>
      </c>
      <c r="D1640" s="8">
        <v>45388</v>
      </c>
      <c r="E1640" s="9" t="str">
        <f>+HYPERLINK("http://trademark.i-assist.jp/data/china/image_1882th/76250859.pdf","76250859")</f>
        <v>76250859</v>
      </c>
      <c r="F1640" s="6" t="s">
        <v>4565</v>
      </c>
      <c r="G1640" s="6" t="s">
        <v>4566</v>
      </c>
      <c r="H1640" s="8" t="s">
        <v>3390</v>
      </c>
      <c r="I1640" s="14">
        <v>45299</v>
      </c>
    </row>
    <row r="1641" spans="1:9" x14ac:dyDescent="0.15">
      <c r="A1641" s="5">
        <v>1640</v>
      </c>
      <c r="B1641" s="6" t="s">
        <v>9</v>
      </c>
      <c r="C1641" s="7">
        <v>1882</v>
      </c>
      <c r="D1641" s="8">
        <v>45388</v>
      </c>
      <c r="E1641" s="9" t="str">
        <f>+HYPERLINK("http://trademark.i-assist.jp/data/china/image_1882th/76251065.pdf","76251065")</f>
        <v>76251065</v>
      </c>
      <c r="F1641" s="6" t="s">
        <v>4567</v>
      </c>
      <c r="G1641" s="6" t="s">
        <v>4568</v>
      </c>
      <c r="H1641" s="8" t="s">
        <v>4569</v>
      </c>
      <c r="I1641" s="14">
        <v>45299</v>
      </c>
    </row>
    <row r="1642" spans="1:9" x14ac:dyDescent="0.15">
      <c r="A1642" s="5">
        <v>1641</v>
      </c>
      <c r="B1642" s="6" t="s">
        <v>9</v>
      </c>
      <c r="C1642" s="7">
        <v>1882</v>
      </c>
      <c r="D1642" s="8">
        <v>45388</v>
      </c>
      <c r="E1642" s="9" t="str">
        <f>+HYPERLINK("http://trademark.i-assist.jp/data/china/image_1882th/76251279.pdf","76251279")</f>
        <v>76251279</v>
      </c>
      <c r="F1642" s="6" t="s">
        <v>4570</v>
      </c>
      <c r="G1642" s="6" t="s">
        <v>4571</v>
      </c>
      <c r="H1642" s="8" t="s">
        <v>4572</v>
      </c>
      <c r="I1642" s="14">
        <v>45299</v>
      </c>
    </row>
    <row r="1643" spans="1:9" x14ac:dyDescent="0.15">
      <c r="A1643" s="5">
        <v>1642</v>
      </c>
      <c r="B1643" s="6" t="s">
        <v>9</v>
      </c>
      <c r="C1643" s="7">
        <v>1882</v>
      </c>
      <c r="D1643" s="8">
        <v>45388</v>
      </c>
      <c r="E1643" s="9" t="str">
        <f>+HYPERLINK("http://trademark.i-assist.jp/data/china/image_1882th/76251332.pdf","76251332")</f>
        <v>76251332</v>
      </c>
      <c r="F1643" s="6" t="s">
        <v>4573</v>
      </c>
      <c r="G1643" s="6" t="s">
        <v>4574</v>
      </c>
      <c r="H1643" s="8" t="s">
        <v>4575</v>
      </c>
      <c r="I1643" s="14">
        <v>45299</v>
      </c>
    </row>
    <row r="1644" spans="1:9" x14ac:dyDescent="0.15">
      <c r="A1644" s="5">
        <v>1643</v>
      </c>
      <c r="B1644" s="6" t="s">
        <v>9</v>
      </c>
      <c r="C1644" s="7">
        <v>1882</v>
      </c>
      <c r="D1644" s="8">
        <v>45388</v>
      </c>
      <c r="E1644" s="9" t="str">
        <f>+HYPERLINK("http://trademark.i-assist.jp/data/china/image_1882th/76251567.pdf","76251567")</f>
        <v>76251567</v>
      </c>
      <c r="F1644" s="6" t="s">
        <v>4576</v>
      </c>
      <c r="G1644" s="6" t="s">
        <v>4577</v>
      </c>
      <c r="H1644" s="8" t="s">
        <v>4578</v>
      </c>
      <c r="I1644" s="14">
        <v>45299</v>
      </c>
    </row>
    <row r="1645" spans="1:9" x14ac:dyDescent="0.15">
      <c r="A1645" s="5">
        <v>1644</v>
      </c>
      <c r="B1645" s="6" t="s">
        <v>9</v>
      </c>
      <c r="C1645" s="7">
        <v>1882</v>
      </c>
      <c r="D1645" s="8">
        <v>45388</v>
      </c>
      <c r="E1645" s="9" t="str">
        <f>+HYPERLINK("http://trademark.i-assist.jp/data/china/image_1882th/76252008.pdf","76252008")</f>
        <v>76252008</v>
      </c>
      <c r="F1645" s="6" t="s">
        <v>26</v>
      </c>
      <c r="G1645" s="6" t="s">
        <v>4579</v>
      </c>
      <c r="H1645" s="8" t="s">
        <v>4580</v>
      </c>
      <c r="I1645" s="14">
        <v>45299</v>
      </c>
    </row>
    <row r="1646" spans="1:9" x14ac:dyDescent="0.15">
      <c r="A1646" s="5">
        <v>1645</v>
      </c>
      <c r="B1646" s="6" t="s">
        <v>9</v>
      </c>
      <c r="C1646" s="7">
        <v>1882</v>
      </c>
      <c r="D1646" s="8">
        <v>45388</v>
      </c>
      <c r="E1646" s="9" t="str">
        <f>+HYPERLINK("http://trademark.i-assist.jp/data/china/image_1882th/76252042.pdf","76252042")</f>
        <v>76252042</v>
      </c>
      <c r="F1646" s="6" t="s">
        <v>4581</v>
      </c>
      <c r="G1646" s="6" t="s">
        <v>4582</v>
      </c>
      <c r="H1646" s="8" t="s">
        <v>4583</v>
      </c>
      <c r="I1646" s="14">
        <v>45299</v>
      </c>
    </row>
    <row r="1647" spans="1:9" x14ac:dyDescent="0.15">
      <c r="A1647" s="5">
        <v>1646</v>
      </c>
      <c r="B1647" s="6" t="s">
        <v>9</v>
      </c>
      <c r="C1647" s="7">
        <v>1882</v>
      </c>
      <c r="D1647" s="8">
        <v>45388</v>
      </c>
      <c r="E1647" s="9" t="str">
        <f>+HYPERLINK("http://trademark.i-assist.jp/data/china/image_1882th/76252170.pdf","76252170")</f>
        <v>76252170</v>
      </c>
      <c r="F1647" s="6" t="s">
        <v>4584</v>
      </c>
      <c r="G1647" s="6" t="s">
        <v>4585</v>
      </c>
      <c r="H1647" s="8" t="s">
        <v>4586</v>
      </c>
      <c r="I1647" s="14">
        <v>45299</v>
      </c>
    </row>
    <row r="1648" spans="1:9" x14ac:dyDescent="0.15">
      <c r="A1648" s="5">
        <v>1647</v>
      </c>
      <c r="B1648" s="6" t="s">
        <v>9</v>
      </c>
      <c r="C1648" s="7">
        <v>1882</v>
      </c>
      <c r="D1648" s="8">
        <v>45388</v>
      </c>
      <c r="E1648" s="9" t="str">
        <f>+HYPERLINK("http://trademark.i-assist.jp/data/china/image_1882th/76252174.pdf","76252174")</f>
        <v>76252174</v>
      </c>
      <c r="F1648" s="6" t="s">
        <v>4587</v>
      </c>
      <c r="G1648" s="6" t="s">
        <v>4588</v>
      </c>
      <c r="H1648" s="8" t="s">
        <v>4589</v>
      </c>
      <c r="I1648" s="14">
        <v>45299</v>
      </c>
    </row>
    <row r="1649" spans="1:9" x14ac:dyDescent="0.15">
      <c r="A1649" s="5">
        <v>1648</v>
      </c>
      <c r="B1649" s="6" t="s">
        <v>9</v>
      </c>
      <c r="C1649" s="7">
        <v>1882</v>
      </c>
      <c r="D1649" s="8">
        <v>45388</v>
      </c>
      <c r="E1649" s="9" t="str">
        <f>+HYPERLINK("http://trademark.i-assist.jp/data/china/image_1882th/76252464.pdf","76252464")</f>
        <v>76252464</v>
      </c>
      <c r="F1649" s="6" t="s">
        <v>4590</v>
      </c>
      <c r="G1649" s="6" t="s">
        <v>4591</v>
      </c>
      <c r="H1649" s="8" t="s">
        <v>4592</v>
      </c>
      <c r="I1649" s="14">
        <v>45299</v>
      </c>
    </row>
    <row r="1650" spans="1:9" x14ac:dyDescent="0.15">
      <c r="A1650" s="5">
        <v>1649</v>
      </c>
      <c r="B1650" s="6" t="s">
        <v>9</v>
      </c>
      <c r="C1650" s="7">
        <v>1882</v>
      </c>
      <c r="D1650" s="8">
        <v>45388</v>
      </c>
      <c r="E1650" s="9" t="str">
        <f>+HYPERLINK("http://trademark.i-assist.jp/data/china/image_1882th/76252483.pdf","76252483")</f>
        <v>76252483</v>
      </c>
      <c r="F1650" s="6" t="s">
        <v>4593</v>
      </c>
      <c r="G1650" s="6" t="s">
        <v>4594</v>
      </c>
      <c r="H1650" s="8" t="s">
        <v>4595</v>
      </c>
      <c r="I1650" s="14">
        <v>45299</v>
      </c>
    </row>
    <row r="1651" spans="1:9" x14ac:dyDescent="0.15">
      <c r="A1651" s="5">
        <v>1650</v>
      </c>
      <c r="B1651" s="6" t="s">
        <v>9</v>
      </c>
      <c r="C1651" s="7">
        <v>1882</v>
      </c>
      <c r="D1651" s="8">
        <v>45388</v>
      </c>
      <c r="E1651" s="9" t="str">
        <f>+HYPERLINK("http://trademark.i-assist.jp/data/china/image_1882th/76252518.pdf","76252518")</f>
        <v>76252518</v>
      </c>
      <c r="F1651" s="6" t="s">
        <v>4596</v>
      </c>
      <c r="G1651" s="6" t="s">
        <v>4428</v>
      </c>
      <c r="H1651" s="8" t="s">
        <v>4597</v>
      </c>
      <c r="I1651" s="14">
        <v>45299</v>
      </c>
    </row>
    <row r="1652" spans="1:9" x14ac:dyDescent="0.15">
      <c r="A1652" s="5">
        <v>1651</v>
      </c>
      <c r="B1652" s="6" t="s">
        <v>9</v>
      </c>
      <c r="C1652" s="7">
        <v>1882</v>
      </c>
      <c r="D1652" s="8">
        <v>45388</v>
      </c>
      <c r="E1652" s="9" t="str">
        <f>+HYPERLINK("http://trademark.i-assist.jp/data/china/image_1882th/76252743.pdf","76252743")</f>
        <v>76252743</v>
      </c>
      <c r="F1652" s="6" t="s">
        <v>4598</v>
      </c>
      <c r="G1652" s="6" t="s">
        <v>4341</v>
      </c>
      <c r="H1652" s="8" t="s">
        <v>4599</v>
      </c>
      <c r="I1652" s="14">
        <v>45299</v>
      </c>
    </row>
    <row r="1653" spans="1:9" x14ac:dyDescent="0.15">
      <c r="A1653" s="5">
        <v>1652</v>
      </c>
      <c r="B1653" s="6" t="s">
        <v>9</v>
      </c>
      <c r="C1653" s="7">
        <v>1882</v>
      </c>
      <c r="D1653" s="8">
        <v>45388</v>
      </c>
      <c r="E1653" s="9" t="str">
        <f>+HYPERLINK("http://trademark.i-assist.jp/data/china/image_1882th/76252908.pdf","76252908")</f>
        <v>76252908</v>
      </c>
      <c r="F1653" s="6" t="s">
        <v>4600</v>
      </c>
      <c r="G1653" s="6" t="s">
        <v>4601</v>
      </c>
      <c r="H1653" s="8" t="s">
        <v>4602</v>
      </c>
      <c r="I1653" s="14">
        <v>45299</v>
      </c>
    </row>
    <row r="1654" spans="1:9" x14ac:dyDescent="0.15">
      <c r="A1654" s="5">
        <v>1653</v>
      </c>
      <c r="B1654" s="6" t="s">
        <v>9</v>
      </c>
      <c r="C1654" s="7">
        <v>1882</v>
      </c>
      <c r="D1654" s="8">
        <v>45388</v>
      </c>
      <c r="E1654" s="9" t="str">
        <f>+HYPERLINK("http://trademark.i-assist.jp/data/china/image_1882th/76252964.pdf","76252964")</f>
        <v>76252964</v>
      </c>
      <c r="F1654" s="6" t="s">
        <v>4603</v>
      </c>
      <c r="G1654" s="6" t="s">
        <v>4604</v>
      </c>
      <c r="H1654" s="8" t="s">
        <v>4605</v>
      </c>
      <c r="I1654" s="14">
        <v>45299</v>
      </c>
    </row>
    <row r="1655" spans="1:9" x14ac:dyDescent="0.15">
      <c r="A1655" s="5">
        <v>1654</v>
      </c>
      <c r="B1655" s="6" t="s">
        <v>9</v>
      </c>
      <c r="C1655" s="7">
        <v>1882</v>
      </c>
      <c r="D1655" s="8">
        <v>45388</v>
      </c>
      <c r="E1655" s="9" t="str">
        <f>+HYPERLINK("http://trademark.i-assist.jp/data/china/image_1882th/76253036.pdf","76253036")</f>
        <v>76253036</v>
      </c>
      <c r="F1655" s="6" t="s">
        <v>4419</v>
      </c>
      <c r="G1655" s="6" t="s">
        <v>4420</v>
      </c>
      <c r="H1655" s="8" t="s">
        <v>4606</v>
      </c>
      <c r="I1655" s="14">
        <v>45299</v>
      </c>
    </row>
    <row r="1656" spans="1:9" x14ac:dyDescent="0.15">
      <c r="A1656" s="5">
        <v>1655</v>
      </c>
      <c r="B1656" s="6" t="s">
        <v>9</v>
      </c>
      <c r="C1656" s="7">
        <v>1882</v>
      </c>
      <c r="D1656" s="8">
        <v>45388</v>
      </c>
      <c r="E1656" s="9" t="str">
        <f>+HYPERLINK("http://trademark.i-assist.jp/data/china/image_1882th/76253047.pdf","76253047")</f>
        <v>76253047</v>
      </c>
      <c r="F1656" s="6" t="s">
        <v>4607</v>
      </c>
      <c r="G1656" s="6" t="s">
        <v>4608</v>
      </c>
      <c r="H1656" s="8" t="s">
        <v>4609</v>
      </c>
      <c r="I1656" s="14">
        <v>45299</v>
      </c>
    </row>
    <row r="1657" spans="1:9" x14ac:dyDescent="0.15">
      <c r="A1657" s="5">
        <v>1656</v>
      </c>
      <c r="B1657" s="6" t="s">
        <v>9</v>
      </c>
      <c r="C1657" s="7">
        <v>1882</v>
      </c>
      <c r="D1657" s="8">
        <v>45388</v>
      </c>
      <c r="E1657" s="9" t="str">
        <f>+HYPERLINK("http://trademark.i-assist.jp/data/china/image_1882th/76253090.pdf","76253090")</f>
        <v>76253090</v>
      </c>
      <c r="F1657" s="6" t="s">
        <v>4610</v>
      </c>
      <c r="G1657" s="6" t="s">
        <v>4349</v>
      </c>
      <c r="H1657" s="8" t="s">
        <v>4611</v>
      </c>
      <c r="I1657" s="14">
        <v>45299</v>
      </c>
    </row>
    <row r="1658" spans="1:9" x14ac:dyDescent="0.15">
      <c r="A1658" s="5">
        <v>1657</v>
      </c>
      <c r="B1658" s="6" t="s">
        <v>9</v>
      </c>
      <c r="C1658" s="7">
        <v>1882</v>
      </c>
      <c r="D1658" s="8">
        <v>45388</v>
      </c>
      <c r="E1658" s="9" t="str">
        <f>+HYPERLINK("http://trademark.i-assist.jp/data/china/image_1882th/76253182.pdf","76253182")</f>
        <v>76253182</v>
      </c>
      <c r="F1658" s="6" t="s">
        <v>4612</v>
      </c>
      <c r="G1658" s="6" t="s">
        <v>4613</v>
      </c>
      <c r="H1658" s="8" t="s">
        <v>4614</v>
      </c>
      <c r="I1658" s="14">
        <v>45299</v>
      </c>
    </row>
    <row r="1659" spans="1:9" x14ac:dyDescent="0.15">
      <c r="A1659" s="5">
        <v>1658</v>
      </c>
      <c r="B1659" s="6" t="s">
        <v>9</v>
      </c>
      <c r="C1659" s="7">
        <v>1882</v>
      </c>
      <c r="D1659" s="8">
        <v>45388</v>
      </c>
      <c r="E1659" s="9" t="str">
        <f>+HYPERLINK("http://trademark.i-assist.jp/data/china/image_1882th/76253264.pdf","76253264")</f>
        <v>76253264</v>
      </c>
      <c r="F1659" s="6" t="s">
        <v>4615</v>
      </c>
      <c r="G1659" s="6" t="s">
        <v>4616</v>
      </c>
      <c r="H1659" s="8" t="s">
        <v>4617</v>
      </c>
      <c r="I1659" s="14">
        <v>45299</v>
      </c>
    </row>
    <row r="1660" spans="1:9" x14ac:dyDescent="0.15">
      <c r="A1660" s="5">
        <v>1659</v>
      </c>
      <c r="B1660" s="6" t="s">
        <v>9</v>
      </c>
      <c r="C1660" s="7">
        <v>1882</v>
      </c>
      <c r="D1660" s="8">
        <v>45388</v>
      </c>
      <c r="E1660" s="9" t="str">
        <f>+HYPERLINK("http://trademark.i-assist.jp/data/china/image_1882th/76253369.pdf","76253369")</f>
        <v>76253369</v>
      </c>
      <c r="F1660" s="6" t="s">
        <v>4618</v>
      </c>
      <c r="G1660" s="6" t="s">
        <v>4619</v>
      </c>
      <c r="H1660" s="8" t="s">
        <v>4620</v>
      </c>
      <c r="I1660" s="14">
        <v>45299</v>
      </c>
    </row>
    <row r="1661" spans="1:9" x14ac:dyDescent="0.15">
      <c r="A1661" s="5">
        <v>1660</v>
      </c>
      <c r="B1661" s="6" t="s">
        <v>9</v>
      </c>
      <c r="C1661" s="7">
        <v>1882</v>
      </c>
      <c r="D1661" s="8">
        <v>45388</v>
      </c>
      <c r="E1661" s="9" t="str">
        <f>+HYPERLINK("http://trademark.i-assist.jp/data/china/image_1882th/76253581.pdf","76253581")</f>
        <v>76253581</v>
      </c>
      <c r="F1661" s="6" t="s">
        <v>4621</v>
      </c>
      <c r="G1661" s="6" t="s">
        <v>4295</v>
      </c>
      <c r="H1661" s="8" t="s">
        <v>4622</v>
      </c>
      <c r="I1661" s="14">
        <v>45299</v>
      </c>
    </row>
    <row r="1662" spans="1:9" x14ac:dyDescent="0.15">
      <c r="A1662" s="5">
        <v>1661</v>
      </c>
      <c r="B1662" s="6" t="s">
        <v>9</v>
      </c>
      <c r="C1662" s="7">
        <v>1882</v>
      </c>
      <c r="D1662" s="8">
        <v>45388</v>
      </c>
      <c r="E1662" s="9" t="str">
        <f>+HYPERLINK("http://trademark.i-assist.jp/data/china/image_1882th/76253596.pdf","76253596")</f>
        <v>76253596</v>
      </c>
      <c r="F1662" s="6" t="s">
        <v>4623</v>
      </c>
      <c r="G1662" s="6" t="s">
        <v>4624</v>
      </c>
      <c r="H1662" s="8" t="s">
        <v>4625</v>
      </c>
      <c r="I1662" s="14">
        <v>45299</v>
      </c>
    </row>
    <row r="1663" spans="1:9" x14ac:dyDescent="0.15">
      <c r="A1663" s="5">
        <v>1662</v>
      </c>
      <c r="B1663" s="6" t="s">
        <v>9</v>
      </c>
      <c r="C1663" s="7">
        <v>1882</v>
      </c>
      <c r="D1663" s="8">
        <v>45388</v>
      </c>
      <c r="E1663" s="9" t="str">
        <f>+HYPERLINK("http://trademark.i-assist.jp/data/china/image_1882th/76253721.pdf","76253721")</f>
        <v>76253721</v>
      </c>
      <c r="F1663" s="6" t="s">
        <v>4626</v>
      </c>
      <c r="G1663" s="6" t="s">
        <v>4627</v>
      </c>
      <c r="H1663" s="8" t="s">
        <v>4628</v>
      </c>
      <c r="I1663" s="14">
        <v>45299</v>
      </c>
    </row>
    <row r="1664" spans="1:9" x14ac:dyDescent="0.15">
      <c r="A1664" s="5">
        <v>1663</v>
      </c>
      <c r="B1664" s="6" t="s">
        <v>9</v>
      </c>
      <c r="C1664" s="7">
        <v>1882</v>
      </c>
      <c r="D1664" s="8">
        <v>45388</v>
      </c>
      <c r="E1664" s="9" t="str">
        <f>+HYPERLINK("http://trademark.i-assist.jp/data/china/image_1882th/76253766.pdf","76253766")</f>
        <v>76253766</v>
      </c>
      <c r="F1664" s="6" t="s">
        <v>4629</v>
      </c>
      <c r="G1664" s="6" t="s">
        <v>4630</v>
      </c>
      <c r="H1664" s="8" t="s">
        <v>4631</v>
      </c>
      <c r="I1664" s="14">
        <v>45299</v>
      </c>
    </row>
    <row r="1665" spans="1:9" x14ac:dyDescent="0.15">
      <c r="A1665" s="5">
        <v>1664</v>
      </c>
      <c r="B1665" s="6" t="s">
        <v>9</v>
      </c>
      <c r="C1665" s="7">
        <v>1882</v>
      </c>
      <c r="D1665" s="8">
        <v>45388</v>
      </c>
      <c r="E1665" s="9" t="str">
        <f>+HYPERLINK("http://trademark.i-assist.jp/data/china/image_1882th/76253835.pdf","76253835")</f>
        <v>76253835</v>
      </c>
      <c r="F1665" s="6" t="s">
        <v>4632</v>
      </c>
      <c r="G1665" s="6" t="s">
        <v>4633</v>
      </c>
      <c r="H1665" s="8" t="s">
        <v>4634</v>
      </c>
      <c r="I1665" s="14">
        <v>45299</v>
      </c>
    </row>
    <row r="1666" spans="1:9" x14ac:dyDescent="0.15">
      <c r="A1666" s="5">
        <v>1665</v>
      </c>
      <c r="B1666" s="6" t="s">
        <v>9</v>
      </c>
      <c r="C1666" s="7">
        <v>1882</v>
      </c>
      <c r="D1666" s="8">
        <v>45388</v>
      </c>
      <c r="E1666" s="9" t="str">
        <f>+HYPERLINK("http://trademark.i-assist.jp/data/china/image_1882th/76253845.pdf","76253845")</f>
        <v>76253845</v>
      </c>
      <c r="F1666" s="6" t="s">
        <v>4635</v>
      </c>
      <c r="G1666" s="6" t="s">
        <v>4568</v>
      </c>
      <c r="H1666" s="8" t="s">
        <v>4636</v>
      </c>
      <c r="I1666" s="14">
        <v>45299</v>
      </c>
    </row>
    <row r="1667" spans="1:9" x14ac:dyDescent="0.15">
      <c r="A1667" s="5">
        <v>1666</v>
      </c>
      <c r="B1667" s="6" t="s">
        <v>9</v>
      </c>
      <c r="C1667" s="7">
        <v>1882</v>
      </c>
      <c r="D1667" s="8">
        <v>45388</v>
      </c>
      <c r="E1667" s="9" t="str">
        <f>+HYPERLINK("http://trademark.i-assist.jp/data/china/image_1882th/76253952.pdf","76253952")</f>
        <v>76253952</v>
      </c>
      <c r="F1667" s="6" t="s">
        <v>4637</v>
      </c>
      <c r="G1667" s="6" t="s">
        <v>4638</v>
      </c>
      <c r="H1667" s="8" t="s">
        <v>4639</v>
      </c>
      <c r="I1667" s="14">
        <v>45299</v>
      </c>
    </row>
    <row r="1668" spans="1:9" x14ac:dyDescent="0.15">
      <c r="A1668" s="5">
        <v>1667</v>
      </c>
      <c r="B1668" s="6" t="s">
        <v>9</v>
      </c>
      <c r="C1668" s="7">
        <v>1882</v>
      </c>
      <c r="D1668" s="8">
        <v>45388</v>
      </c>
      <c r="E1668" s="9" t="str">
        <f>+HYPERLINK("http://trademark.i-assist.jp/data/china/image_1882th/76254043.pdf","76254043")</f>
        <v>76254043</v>
      </c>
      <c r="F1668" s="6" t="s">
        <v>4640</v>
      </c>
      <c r="G1668" s="6" t="s">
        <v>4641</v>
      </c>
      <c r="H1668" s="8" t="s">
        <v>4642</v>
      </c>
      <c r="I1668" s="14">
        <v>45299</v>
      </c>
    </row>
    <row r="1669" spans="1:9" x14ac:dyDescent="0.15">
      <c r="A1669" s="5">
        <v>1668</v>
      </c>
      <c r="B1669" s="6" t="s">
        <v>9</v>
      </c>
      <c r="C1669" s="7">
        <v>1882</v>
      </c>
      <c r="D1669" s="8">
        <v>45388</v>
      </c>
      <c r="E1669" s="9" t="str">
        <f>+HYPERLINK("http://trademark.i-assist.jp/data/china/image_1882th/76254176.pdf","76254176")</f>
        <v>76254176</v>
      </c>
      <c r="F1669" s="6" t="s">
        <v>4643</v>
      </c>
      <c r="G1669" s="6" t="s">
        <v>4644</v>
      </c>
      <c r="H1669" s="8" t="s">
        <v>4645</v>
      </c>
      <c r="I1669" s="14">
        <v>45299</v>
      </c>
    </row>
    <row r="1670" spans="1:9" x14ac:dyDescent="0.15">
      <c r="A1670" s="5">
        <v>1669</v>
      </c>
      <c r="B1670" s="6" t="s">
        <v>9</v>
      </c>
      <c r="C1670" s="7">
        <v>1882</v>
      </c>
      <c r="D1670" s="8">
        <v>45388</v>
      </c>
      <c r="E1670" s="9" t="str">
        <f>+HYPERLINK("http://trademark.i-assist.jp/data/china/image_1882th/76254334.pdf","76254334")</f>
        <v>76254334</v>
      </c>
      <c r="F1670" s="6" t="s">
        <v>4646</v>
      </c>
      <c r="G1670" s="6" t="s">
        <v>4647</v>
      </c>
      <c r="H1670" s="8" t="s">
        <v>4648</v>
      </c>
      <c r="I1670" s="14">
        <v>45299</v>
      </c>
    </row>
    <row r="1671" spans="1:9" x14ac:dyDescent="0.15">
      <c r="A1671" s="5">
        <v>1670</v>
      </c>
      <c r="B1671" s="6" t="s">
        <v>9</v>
      </c>
      <c r="C1671" s="7">
        <v>1882</v>
      </c>
      <c r="D1671" s="8">
        <v>45388</v>
      </c>
      <c r="E1671" s="9" t="str">
        <f>+HYPERLINK("http://trademark.i-assist.jp/data/china/image_1882th/76254339.pdf","76254339")</f>
        <v>76254339</v>
      </c>
      <c r="F1671" s="6" t="s">
        <v>4649</v>
      </c>
      <c r="G1671" s="6" t="s">
        <v>4650</v>
      </c>
      <c r="H1671" s="8" t="s">
        <v>4651</v>
      </c>
      <c r="I1671" s="14">
        <v>45299</v>
      </c>
    </row>
    <row r="1672" spans="1:9" x14ac:dyDescent="0.15">
      <c r="A1672" s="5">
        <v>1671</v>
      </c>
      <c r="B1672" s="6" t="s">
        <v>9</v>
      </c>
      <c r="C1672" s="7">
        <v>1882</v>
      </c>
      <c r="D1672" s="8">
        <v>45388</v>
      </c>
      <c r="E1672" s="9" t="str">
        <f>+HYPERLINK("http://trademark.i-assist.jp/data/china/image_1882th/76254452.pdf","76254452")</f>
        <v>76254452</v>
      </c>
      <c r="F1672" s="6" t="s">
        <v>4652</v>
      </c>
      <c r="G1672" s="6" t="s">
        <v>4653</v>
      </c>
      <c r="H1672" s="8" t="s">
        <v>4654</v>
      </c>
      <c r="I1672" s="14">
        <v>45299</v>
      </c>
    </row>
    <row r="1673" spans="1:9" x14ac:dyDescent="0.15">
      <c r="A1673" s="5">
        <v>1672</v>
      </c>
      <c r="B1673" s="6" t="s">
        <v>9</v>
      </c>
      <c r="C1673" s="7">
        <v>1882</v>
      </c>
      <c r="D1673" s="8">
        <v>45388</v>
      </c>
      <c r="E1673" s="9" t="str">
        <f>+HYPERLINK("http://trademark.i-assist.jp/data/china/image_1882th/76254674.pdf","76254674")</f>
        <v>76254674</v>
      </c>
      <c r="F1673" s="6" t="s">
        <v>4655</v>
      </c>
      <c r="G1673" s="6" t="s">
        <v>4656</v>
      </c>
      <c r="H1673" s="8" t="s">
        <v>4657</v>
      </c>
      <c r="I1673" s="14">
        <v>45299</v>
      </c>
    </row>
    <row r="1674" spans="1:9" x14ac:dyDescent="0.15">
      <c r="A1674" s="5">
        <v>1673</v>
      </c>
      <c r="B1674" s="6" t="s">
        <v>9</v>
      </c>
      <c r="C1674" s="7">
        <v>1882</v>
      </c>
      <c r="D1674" s="8">
        <v>45388</v>
      </c>
      <c r="E1674" s="9" t="str">
        <f>+HYPERLINK("http://trademark.i-assist.jp/data/china/image_1882th/76254990.pdf","76254990")</f>
        <v>76254990</v>
      </c>
      <c r="F1674" s="6" t="s">
        <v>4658</v>
      </c>
      <c r="G1674" s="6" t="s">
        <v>4659</v>
      </c>
      <c r="H1674" s="8" t="s">
        <v>4660</v>
      </c>
      <c r="I1674" s="14">
        <v>45299</v>
      </c>
    </row>
    <row r="1675" spans="1:9" x14ac:dyDescent="0.15">
      <c r="A1675" s="5">
        <v>1674</v>
      </c>
      <c r="B1675" s="6" t="s">
        <v>9</v>
      </c>
      <c r="C1675" s="7">
        <v>1882</v>
      </c>
      <c r="D1675" s="8">
        <v>45388</v>
      </c>
      <c r="E1675" s="9" t="str">
        <f>+HYPERLINK("http://trademark.i-assist.jp/data/china/image_1882th/76255383.pdf","76255383")</f>
        <v>76255383</v>
      </c>
      <c r="F1675" s="6" t="s">
        <v>4661</v>
      </c>
      <c r="G1675" s="6" t="s">
        <v>4662</v>
      </c>
      <c r="H1675" s="8" t="s">
        <v>4663</v>
      </c>
      <c r="I1675" s="14">
        <v>45299</v>
      </c>
    </row>
    <row r="1676" spans="1:9" x14ac:dyDescent="0.15">
      <c r="A1676" s="5">
        <v>1675</v>
      </c>
      <c r="B1676" s="6" t="s">
        <v>9</v>
      </c>
      <c r="C1676" s="7">
        <v>1882</v>
      </c>
      <c r="D1676" s="8">
        <v>45388</v>
      </c>
      <c r="E1676" s="9" t="str">
        <f>+HYPERLINK("http://trademark.i-assist.jp/data/china/image_1882th/76255394.pdf","76255394")</f>
        <v>76255394</v>
      </c>
      <c r="F1676" s="6" t="s">
        <v>4664</v>
      </c>
      <c r="G1676" s="6" t="s">
        <v>4665</v>
      </c>
      <c r="H1676" s="8" t="s">
        <v>4666</v>
      </c>
      <c r="I1676" s="14">
        <v>45299</v>
      </c>
    </row>
    <row r="1677" spans="1:9" x14ac:dyDescent="0.15">
      <c r="A1677" s="5">
        <v>1676</v>
      </c>
      <c r="B1677" s="6" t="s">
        <v>9</v>
      </c>
      <c r="C1677" s="7">
        <v>1882</v>
      </c>
      <c r="D1677" s="8">
        <v>45388</v>
      </c>
      <c r="E1677" s="9" t="str">
        <f>+HYPERLINK("http://trademark.i-assist.jp/data/china/image_1882th/76255548.pdf","76255548")</f>
        <v>76255548</v>
      </c>
      <c r="F1677" s="6" t="s">
        <v>4667</v>
      </c>
      <c r="G1677" s="6" t="s">
        <v>4668</v>
      </c>
      <c r="H1677" s="8" t="s">
        <v>4669</v>
      </c>
      <c r="I1677" s="14">
        <v>45299</v>
      </c>
    </row>
    <row r="1678" spans="1:9" x14ac:dyDescent="0.15">
      <c r="A1678" s="5">
        <v>1677</v>
      </c>
      <c r="B1678" s="6" t="s">
        <v>9</v>
      </c>
      <c r="C1678" s="7">
        <v>1882</v>
      </c>
      <c r="D1678" s="8">
        <v>45388</v>
      </c>
      <c r="E1678" s="9" t="str">
        <f>+HYPERLINK("http://trademark.i-assist.jp/data/china/image_1882th/76255667.pdf","76255667")</f>
        <v>76255667</v>
      </c>
      <c r="F1678" s="6" t="s">
        <v>26</v>
      </c>
      <c r="G1678" s="6" t="s">
        <v>4670</v>
      </c>
      <c r="H1678" s="8" t="s">
        <v>4671</v>
      </c>
      <c r="I1678" s="14">
        <v>45299</v>
      </c>
    </row>
    <row r="1679" spans="1:9" x14ac:dyDescent="0.15">
      <c r="A1679" s="5">
        <v>1678</v>
      </c>
      <c r="B1679" s="6" t="s">
        <v>9</v>
      </c>
      <c r="C1679" s="7">
        <v>1882</v>
      </c>
      <c r="D1679" s="8">
        <v>45388</v>
      </c>
      <c r="E1679" s="9" t="str">
        <f>+HYPERLINK("http://trademark.i-assist.jp/data/china/image_1882th/76255948.pdf","76255948")</f>
        <v>76255948</v>
      </c>
      <c r="F1679" s="6" t="s">
        <v>4672</v>
      </c>
      <c r="G1679" s="6" t="s">
        <v>4673</v>
      </c>
      <c r="H1679" s="8" t="s">
        <v>4674</v>
      </c>
      <c r="I1679" s="14">
        <v>45299</v>
      </c>
    </row>
    <row r="1680" spans="1:9" x14ac:dyDescent="0.15">
      <c r="A1680" s="5">
        <v>1679</v>
      </c>
      <c r="B1680" s="6" t="s">
        <v>9</v>
      </c>
      <c r="C1680" s="7">
        <v>1882</v>
      </c>
      <c r="D1680" s="8">
        <v>45388</v>
      </c>
      <c r="E1680" s="9" t="str">
        <f>+HYPERLINK("http://trademark.i-assist.jp/data/china/image_1882th/76256080.pdf","76256080")</f>
        <v>76256080</v>
      </c>
      <c r="F1680" s="6" t="s">
        <v>4675</v>
      </c>
      <c r="G1680" s="6" t="s">
        <v>4676</v>
      </c>
      <c r="H1680" s="8" t="s">
        <v>4677</v>
      </c>
      <c r="I1680" s="14">
        <v>45299</v>
      </c>
    </row>
    <row r="1681" spans="1:9" x14ac:dyDescent="0.15">
      <c r="A1681" s="5">
        <v>1680</v>
      </c>
      <c r="B1681" s="6" t="s">
        <v>9</v>
      </c>
      <c r="C1681" s="7">
        <v>1882</v>
      </c>
      <c r="D1681" s="8">
        <v>45388</v>
      </c>
      <c r="E1681" s="9" t="str">
        <f>+HYPERLINK("http://trademark.i-assist.jp/data/china/image_1882th/76256146.pdf","76256146")</f>
        <v>76256146</v>
      </c>
      <c r="F1681" s="6" t="s">
        <v>26</v>
      </c>
      <c r="G1681" s="6" t="s">
        <v>4678</v>
      </c>
      <c r="H1681" s="8" t="s">
        <v>4679</v>
      </c>
      <c r="I1681" s="14">
        <v>45299</v>
      </c>
    </row>
    <row r="1682" spans="1:9" x14ac:dyDescent="0.15">
      <c r="A1682" s="5">
        <v>1681</v>
      </c>
      <c r="B1682" s="6" t="s">
        <v>9</v>
      </c>
      <c r="C1682" s="7">
        <v>1882</v>
      </c>
      <c r="D1682" s="8">
        <v>45388</v>
      </c>
      <c r="E1682" s="9" t="str">
        <f>+HYPERLINK("http://trademark.i-assist.jp/data/china/image_1882th/76256211.pdf","76256211")</f>
        <v>76256211</v>
      </c>
      <c r="F1682" s="6" t="s">
        <v>4680</v>
      </c>
      <c r="G1682" s="6" t="s">
        <v>4681</v>
      </c>
      <c r="H1682" s="8" t="s">
        <v>4682</v>
      </c>
      <c r="I1682" s="14">
        <v>45299</v>
      </c>
    </row>
    <row r="1683" spans="1:9" x14ac:dyDescent="0.15">
      <c r="A1683" s="5">
        <v>1682</v>
      </c>
      <c r="B1683" s="6" t="s">
        <v>9</v>
      </c>
      <c r="C1683" s="7">
        <v>1882</v>
      </c>
      <c r="D1683" s="8">
        <v>45388</v>
      </c>
      <c r="E1683" s="9" t="str">
        <f>+HYPERLINK("http://trademark.i-assist.jp/data/china/image_1882th/76256309.pdf","76256309")</f>
        <v>76256309</v>
      </c>
      <c r="F1683" s="6" t="s">
        <v>4683</v>
      </c>
      <c r="G1683" s="6" t="s">
        <v>4684</v>
      </c>
      <c r="H1683" s="8" t="s">
        <v>4685</v>
      </c>
      <c r="I1683" s="14">
        <v>45299</v>
      </c>
    </row>
    <row r="1684" spans="1:9" x14ac:dyDescent="0.15">
      <c r="A1684" s="5">
        <v>1683</v>
      </c>
      <c r="B1684" s="6" t="s">
        <v>9</v>
      </c>
      <c r="C1684" s="7">
        <v>1882</v>
      </c>
      <c r="D1684" s="8">
        <v>45388</v>
      </c>
      <c r="E1684" s="9" t="str">
        <f>+HYPERLINK("http://trademark.i-assist.jp/data/china/image_1882th/76256355.pdf","76256355")</f>
        <v>76256355</v>
      </c>
      <c r="F1684" s="6" t="s">
        <v>4686</v>
      </c>
      <c r="G1684" s="6" t="s">
        <v>4687</v>
      </c>
      <c r="H1684" s="8" t="s">
        <v>4688</v>
      </c>
      <c r="I1684" s="14">
        <v>45299</v>
      </c>
    </row>
    <row r="1685" spans="1:9" x14ac:dyDescent="0.15">
      <c r="A1685" s="5">
        <v>1684</v>
      </c>
      <c r="B1685" s="6" t="s">
        <v>9</v>
      </c>
      <c r="C1685" s="7">
        <v>1882</v>
      </c>
      <c r="D1685" s="8">
        <v>45388</v>
      </c>
      <c r="E1685" s="9" t="str">
        <f>+HYPERLINK("http://trademark.i-assist.jp/data/china/image_1882th/76256373.pdf","76256373")</f>
        <v>76256373</v>
      </c>
      <c r="F1685" s="6" t="s">
        <v>4689</v>
      </c>
      <c r="G1685" s="6" t="s">
        <v>4690</v>
      </c>
      <c r="H1685" s="8" t="s">
        <v>4691</v>
      </c>
      <c r="I1685" s="14">
        <v>45299</v>
      </c>
    </row>
    <row r="1686" spans="1:9" x14ac:dyDescent="0.15">
      <c r="A1686" s="5">
        <v>1685</v>
      </c>
      <c r="B1686" s="6" t="s">
        <v>9</v>
      </c>
      <c r="C1686" s="7">
        <v>1882</v>
      </c>
      <c r="D1686" s="8">
        <v>45388</v>
      </c>
      <c r="E1686" s="9" t="str">
        <f>+HYPERLINK("http://trademark.i-assist.jp/data/china/image_1882th/76256692.pdf","76256692")</f>
        <v>76256692</v>
      </c>
      <c r="F1686" s="6" t="s">
        <v>4692</v>
      </c>
      <c r="G1686" s="6" t="s">
        <v>4555</v>
      </c>
      <c r="H1686" s="8" t="s">
        <v>4693</v>
      </c>
      <c r="I1686" s="14">
        <v>45299</v>
      </c>
    </row>
    <row r="1687" spans="1:9" x14ac:dyDescent="0.15">
      <c r="A1687" s="5">
        <v>1686</v>
      </c>
      <c r="B1687" s="6" t="s">
        <v>9</v>
      </c>
      <c r="C1687" s="7">
        <v>1882</v>
      </c>
      <c r="D1687" s="8">
        <v>45388</v>
      </c>
      <c r="E1687" s="9" t="str">
        <f>+HYPERLINK("http://trademark.i-assist.jp/data/china/image_1882th/76256773.pdf","76256773")</f>
        <v>76256773</v>
      </c>
      <c r="F1687" s="6" t="s">
        <v>4694</v>
      </c>
      <c r="G1687" s="6" t="s">
        <v>4327</v>
      </c>
      <c r="H1687" s="8" t="s">
        <v>4695</v>
      </c>
      <c r="I1687" s="14">
        <v>45299</v>
      </c>
    </row>
    <row r="1688" spans="1:9" x14ac:dyDescent="0.15">
      <c r="A1688" s="5">
        <v>1687</v>
      </c>
      <c r="B1688" s="6" t="s">
        <v>9</v>
      </c>
      <c r="C1688" s="7">
        <v>1882</v>
      </c>
      <c r="D1688" s="8">
        <v>45388</v>
      </c>
      <c r="E1688" s="9" t="str">
        <f>+HYPERLINK("http://trademark.i-assist.jp/data/china/image_1882th/76256821.pdf","76256821")</f>
        <v>76256821</v>
      </c>
      <c r="F1688" s="6" t="s">
        <v>4696</v>
      </c>
      <c r="G1688" s="6" t="s">
        <v>4697</v>
      </c>
      <c r="H1688" s="8" t="s">
        <v>4698</v>
      </c>
      <c r="I1688" s="14">
        <v>45299</v>
      </c>
    </row>
    <row r="1689" spans="1:9" x14ac:dyDescent="0.15">
      <c r="A1689" s="5">
        <v>1688</v>
      </c>
      <c r="B1689" s="6" t="s">
        <v>9</v>
      </c>
      <c r="C1689" s="7">
        <v>1882</v>
      </c>
      <c r="D1689" s="8">
        <v>45388</v>
      </c>
      <c r="E1689" s="9" t="str">
        <f>+HYPERLINK("http://trademark.i-assist.jp/data/china/image_1882th/76256940.pdf","76256940")</f>
        <v>76256940</v>
      </c>
      <c r="F1689" s="6" t="s">
        <v>4699</v>
      </c>
      <c r="G1689" s="6" t="s">
        <v>4700</v>
      </c>
      <c r="H1689" s="8" t="s">
        <v>4701</v>
      </c>
      <c r="I1689" s="14">
        <v>45299</v>
      </c>
    </row>
    <row r="1690" spans="1:9" x14ac:dyDescent="0.15">
      <c r="A1690" s="5">
        <v>1689</v>
      </c>
      <c r="B1690" s="6" t="s">
        <v>9</v>
      </c>
      <c r="C1690" s="7">
        <v>1882</v>
      </c>
      <c r="D1690" s="8">
        <v>45388</v>
      </c>
      <c r="E1690" s="9" t="str">
        <f>+HYPERLINK("http://trademark.i-assist.jp/data/china/image_1882th/76257168.pdf","76257168")</f>
        <v>76257168</v>
      </c>
      <c r="F1690" s="6" t="s">
        <v>4702</v>
      </c>
      <c r="G1690" s="6" t="s">
        <v>4703</v>
      </c>
      <c r="H1690" s="8" t="s">
        <v>4704</v>
      </c>
      <c r="I1690" s="14">
        <v>45299</v>
      </c>
    </row>
    <row r="1691" spans="1:9" x14ac:dyDescent="0.15">
      <c r="A1691" s="5">
        <v>1690</v>
      </c>
      <c r="B1691" s="6" t="s">
        <v>9</v>
      </c>
      <c r="C1691" s="7">
        <v>1882</v>
      </c>
      <c r="D1691" s="8">
        <v>45388</v>
      </c>
      <c r="E1691" s="9" t="str">
        <f>+HYPERLINK("http://trademark.i-assist.jp/data/china/image_1882th/76257301.pdf","76257301")</f>
        <v>76257301</v>
      </c>
      <c r="F1691" s="6" t="s">
        <v>4705</v>
      </c>
      <c r="G1691" s="6" t="s">
        <v>4706</v>
      </c>
      <c r="H1691" s="8" t="s">
        <v>4707</v>
      </c>
      <c r="I1691" s="14">
        <v>45299</v>
      </c>
    </row>
    <row r="1692" spans="1:9" x14ac:dyDescent="0.15">
      <c r="A1692" s="5">
        <v>1691</v>
      </c>
      <c r="B1692" s="6" t="s">
        <v>9</v>
      </c>
      <c r="C1692" s="7">
        <v>1882</v>
      </c>
      <c r="D1692" s="8">
        <v>45388</v>
      </c>
      <c r="E1692" s="9" t="str">
        <f>+HYPERLINK("http://trademark.i-assist.jp/data/china/image_1882th/76257325.pdf","76257325")</f>
        <v>76257325</v>
      </c>
      <c r="F1692" s="6" t="s">
        <v>4708</v>
      </c>
      <c r="G1692" s="6" t="s">
        <v>4471</v>
      </c>
      <c r="H1692" s="8" t="s">
        <v>4709</v>
      </c>
      <c r="I1692" s="14">
        <v>45299</v>
      </c>
    </row>
    <row r="1693" spans="1:9" x14ac:dyDescent="0.15">
      <c r="A1693" s="5">
        <v>1692</v>
      </c>
      <c r="B1693" s="6" t="s">
        <v>9</v>
      </c>
      <c r="C1693" s="7">
        <v>1882</v>
      </c>
      <c r="D1693" s="8">
        <v>45388</v>
      </c>
      <c r="E1693" s="9" t="str">
        <f>+HYPERLINK("http://trademark.i-assist.jp/data/china/image_1882th/76257456.pdf","76257456")</f>
        <v>76257456</v>
      </c>
      <c r="F1693" s="6" t="s">
        <v>4710</v>
      </c>
      <c r="G1693" s="6" t="s">
        <v>4711</v>
      </c>
      <c r="H1693" s="8" t="s">
        <v>4712</v>
      </c>
      <c r="I1693" s="14">
        <v>45299</v>
      </c>
    </row>
    <row r="1694" spans="1:9" x14ac:dyDescent="0.15">
      <c r="A1694" s="5">
        <v>1693</v>
      </c>
      <c r="B1694" s="6" t="s">
        <v>9</v>
      </c>
      <c r="C1694" s="7">
        <v>1882</v>
      </c>
      <c r="D1694" s="8">
        <v>45388</v>
      </c>
      <c r="E1694" s="9" t="str">
        <f>+HYPERLINK("http://trademark.i-assist.jp/data/china/image_1882th/76257463.pdf","76257463")</f>
        <v>76257463</v>
      </c>
      <c r="F1694" s="6" t="s">
        <v>4713</v>
      </c>
      <c r="G1694" s="6" t="s">
        <v>4714</v>
      </c>
      <c r="H1694" s="8" t="s">
        <v>4715</v>
      </c>
      <c r="I1694" s="14">
        <v>45299</v>
      </c>
    </row>
    <row r="1695" spans="1:9" x14ac:dyDescent="0.15">
      <c r="A1695" s="5">
        <v>1694</v>
      </c>
      <c r="B1695" s="6" t="s">
        <v>9</v>
      </c>
      <c r="C1695" s="7">
        <v>1882</v>
      </c>
      <c r="D1695" s="8">
        <v>45388</v>
      </c>
      <c r="E1695" s="9" t="str">
        <f>+HYPERLINK("http://trademark.i-assist.jp/data/china/image_1882th/76257473.pdf","76257473")</f>
        <v>76257473</v>
      </c>
      <c r="F1695" s="6" t="s">
        <v>4716</v>
      </c>
      <c r="G1695" s="6" t="s">
        <v>4711</v>
      </c>
      <c r="H1695" s="8" t="s">
        <v>4717</v>
      </c>
      <c r="I1695" s="14">
        <v>45299</v>
      </c>
    </row>
    <row r="1696" spans="1:9" x14ac:dyDescent="0.15">
      <c r="A1696" s="5">
        <v>1695</v>
      </c>
      <c r="B1696" s="6" t="s">
        <v>9</v>
      </c>
      <c r="C1696" s="7">
        <v>1882</v>
      </c>
      <c r="D1696" s="8">
        <v>45388</v>
      </c>
      <c r="E1696" s="9" t="str">
        <f>+HYPERLINK("http://trademark.i-assist.jp/data/china/image_1882th/76257526.pdf","76257526")</f>
        <v>76257526</v>
      </c>
      <c r="F1696" s="6" t="s">
        <v>4718</v>
      </c>
      <c r="G1696" s="6" t="s">
        <v>4719</v>
      </c>
      <c r="H1696" s="8" t="s">
        <v>4720</v>
      </c>
      <c r="I1696" s="14">
        <v>45299</v>
      </c>
    </row>
    <row r="1697" spans="1:9" x14ac:dyDescent="0.15">
      <c r="A1697" s="5">
        <v>1696</v>
      </c>
      <c r="B1697" s="6" t="s">
        <v>9</v>
      </c>
      <c r="C1697" s="7">
        <v>1882</v>
      </c>
      <c r="D1697" s="8">
        <v>45388</v>
      </c>
      <c r="E1697" s="9" t="str">
        <f>+HYPERLINK("http://trademark.i-assist.jp/data/china/image_1882th/76257891.pdf","76257891")</f>
        <v>76257891</v>
      </c>
      <c r="F1697" s="6" t="s">
        <v>4721</v>
      </c>
      <c r="G1697" s="6" t="s">
        <v>4722</v>
      </c>
      <c r="H1697" s="8" t="s">
        <v>4723</v>
      </c>
      <c r="I1697" s="14">
        <v>45299</v>
      </c>
    </row>
    <row r="1698" spans="1:9" x14ac:dyDescent="0.15">
      <c r="A1698" s="5">
        <v>1697</v>
      </c>
      <c r="B1698" s="6" t="s">
        <v>9</v>
      </c>
      <c r="C1698" s="7">
        <v>1882</v>
      </c>
      <c r="D1698" s="8">
        <v>45388</v>
      </c>
      <c r="E1698" s="9" t="str">
        <f>+HYPERLINK("http://trademark.i-assist.jp/data/china/image_1882th/76257892.pdf","76257892")</f>
        <v>76257892</v>
      </c>
      <c r="F1698" s="6" t="s">
        <v>4724</v>
      </c>
      <c r="G1698" s="6" t="s">
        <v>4725</v>
      </c>
      <c r="H1698" s="8" t="s">
        <v>4726</v>
      </c>
      <c r="I1698" s="14">
        <v>45299</v>
      </c>
    </row>
    <row r="1699" spans="1:9" x14ac:dyDescent="0.15">
      <c r="A1699" s="5">
        <v>1698</v>
      </c>
      <c r="B1699" s="6" t="s">
        <v>9</v>
      </c>
      <c r="C1699" s="7">
        <v>1882</v>
      </c>
      <c r="D1699" s="8">
        <v>45388</v>
      </c>
      <c r="E1699" s="9" t="str">
        <f>+HYPERLINK("http://trademark.i-assist.jp/data/china/image_1882th/76258083.pdf","76258083")</f>
        <v>76258083</v>
      </c>
      <c r="F1699" s="6" t="s">
        <v>4727</v>
      </c>
      <c r="G1699" s="6" t="s">
        <v>4728</v>
      </c>
      <c r="H1699" s="8" t="s">
        <v>4729</v>
      </c>
      <c r="I1699" s="14">
        <v>45299</v>
      </c>
    </row>
    <row r="1700" spans="1:9" x14ac:dyDescent="0.15">
      <c r="A1700" s="5">
        <v>1699</v>
      </c>
      <c r="B1700" s="6" t="s">
        <v>9</v>
      </c>
      <c r="C1700" s="7">
        <v>1882</v>
      </c>
      <c r="D1700" s="8">
        <v>45388</v>
      </c>
      <c r="E1700" s="9" t="str">
        <f>+HYPERLINK("http://trademark.i-assist.jp/data/china/image_1882th/76258667.pdf","76258667")</f>
        <v>76258667</v>
      </c>
      <c r="F1700" s="6" t="s">
        <v>4730</v>
      </c>
      <c r="G1700" s="6" t="s">
        <v>4731</v>
      </c>
      <c r="H1700" s="8" t="s">
        <v>4732</v>
      </c>
      <c r="I1700" s="14">
        <v>45299</v>
      </c>
    </row>
    <row r="1701" spans="1:9" x14ac:dyDescent="0.15">
      <c r="A1701" s="5">
        <v>1700</v>
      </c>
      <c r="B1701" s="6" t="s">
        <v>9</v>
      </c>
      <c r="C1701" s="7">
        <v>1882</v>
      </c>
      <c r="D1701" s="8">
        <v>45388</v>
      </c>
      <c r="E1701" s="9" t="str">
        <f>+HYPERLINK("http://trademark.i-assist.jp/data/china/image_1882th/76258855.pdf","76258855")</f>
        <v>76258855</v>
      </c>
      <c r="F1701" s="6" t="s">
        <v>4733</v>
      </c>
      <c r="G1701" s="6" t="s">
        <v>4734</v>
      </c>
      <c r="H1701" s="8" t="s">
        <v>4735</v>
      </c>
      <c r="I1701" s="14">
        <v>45299</v>
      </c>
    </row>
    <row r="1702" spans="1:9" x14ac:dyDescent="0.15">
      <c r="A1702" s="5">
        <v>1701</v>
      </c>
      <c r="B1702" s="6" t="s">
        <v>9</v>
      </c>
      <c r="C1702" s="7">
        <v>1882</v>
      </c>
      <c r="D1702" s="8">
        <v>45388</v>
      </c>
      <c r="E1702" s="9" t="str">
        <f>+HYPERLINK("http://trademark.i-assist.jp/data/china/image_1882th/76259467.pdf","76259467")</f>
        <v>76259467</v>
      </c>
      <c r="F1702" s="6" t="s">
        <v>4736</v>
      </c>
      <c r="G1702" s="6" t="s">
        <v>4737</v>
      </c>
      <c r="H1702" s="8" t="s">
        <v>4738</v>
      </c>
      <c r="I1702" s="14">
        <v>45299</v>
      </c>
    </row>
    <row r="1703" spans="1:9" x14ac:dyDescent="0.15">
      <c r="A1703" s="5">
        <v>1702</v>
      </c>
      <c r="B1703" s="6" t="s">
        <v>9</v>
      </c>
      <c r="C1703" s="7">
        <v>1882</v>
      </c>
      <c r="D1703" s="8">
        <v>45388</v>
      </c>
      <c r="E1703" s="9" t="str">
        <f>+HYPERLINK("http://trademark.i-assist.jp/data/china/image_1882th/76259478.pdf","76259478")</f>
        <v>76259478</v>
      </c>
      <c r="F1703" s="6" t="s">
        <v>4739</v>
      </c>
      <c r="G1703" s="6" t="s">
        <v>4740</v>
      </c>
      <c r="H1703" s="8" t="s">
        <v>4741</v>
      </c>
      <c r="I1703" s="14">
        <v>45299</v>
      </c>
    </row>
    <row r="1704" spans="1:9" x14ac:dyDescent="0.15">
      <c r="A1704" s="5">
        <v>1703</v>
      </c>
      <c r="B1704" s="6" t="s">
        <v>9</v>
      </c>
      <c r="C1704" s="7">
        <v>1882</v>
      </c>
      <c r="D1704" s="8">
        <v>45388</v>
      </c>
      <c r="E1704" s="9" t="str">
        <f>+HYPERLINK("http://trademark.i-assist.jp/data/china/image_1882th/76259484.pdf","76259484")</f>
        <v>76259484</v>
      </c>
      <c r="F1704" s="6" t="s">
        <v>4742</v>
      </c>
      <c r="G1704" s="6" t="s">
        <v>4743</v>
      </c>
      <c r="H1704" s="8" t="s">
        <v>4744</v>
      </c>
      <c r="I1704" s="14">
        <v>45299</v>
      </c>
    </row>
    <row r="1705" spans="1:9" x14ac:dyDescent="0.15">
      <c r="A1705" s="5">
        <v>1704</v>
      </c>
      <c r="B1705" s="6" t="s">
        <v>9</v>
      </c>
      <c r="C1705" s="7">
        <v>1882</v>
      </c>
      <c r="D1705" s="8">
        <v>45388</v>
      </c>
      <c r="E1705" s="9" t="str">
        <f>+HYPERLINK("http://trademark.i-assist.jp/data/china/image_1882th/76259580.pdf","76259580")</f>
        <v>76259580</v>
      </c>
      <c r="F1705" s="6" t="s">
        <v>4745</v>
      </c>
      <c r="G1705" s="6" t="s">
        <v>4462</v>
      </c>
      <c r="H1705" s="8" t="s">
        <v>4746</v>
      </c>
      <c r="I1705" s="14">
        <v>45299</v>
      </c>
    </row>
    <row r="1706" spans="1:9" x14ac:dyDescent="0.15">
      <c r="A1706" s="5">
        <v>1705</v>
      </c>
      <c r="B1706" s="6" t="s">
        <v>9</v>
      </c>
      <c r="C1706" s="7">
        <v>1882</v>
      </c>
      <c r="D1706" s="8">
        <v>45388</v>
      </c>
      <c r="E1706" s="9" t="str">
        <f>+HYPERLINK("http://trademark.i-assist.jp/data/china/image_1882th/76259766.pdf","76259766")</f>
        <v>76259766</v>
      </c>
      <c r="F1706" s="6" t="s">
        <v>4747</v>
      </c>
      <c r="G1706" s="6" t="s">
        <v>4748</v>
      </c>
      <c r="H1706" s="8" t="s">
        <v>4749</v>
      </c>
      <c r="I1706" s="14">
        <v>45299</v>
      </c>
    </row>
    <row r="1707" spans="1:9" x14ac:dyDescent="0.15">
      <c r="A1707" s="5">
        <v>1706</v>
      </c>
      <c r="B1707" s="6" t="s">
        <v>9</v>
      </c>
      <c r="C1707" s="7">
        <v>1882</v>
      </c>
      <c r="D1707" s="8">
        <v>45388</v>
      </c>
      <c r="E1707" s="9" t="str">
        <f>+HYPERLINK("http://trademark.i-assist.jp/data/china/image_1882th/76260337.pdf","76260337")</f>
        <v>76260337</v>
      </c>
      <c r="F1707" s="6" t="s">
        <v>4750</v>
      </c>
      <c r="G1707" s="6" t="s">
        <v>4327</v>
      </c>
      <c r="H1707" s="8" t="s">
        <v>4751</v>
      </c>
      <c r="I1707" s="14">
        <v>45299</v>
      </c>
    </row>
    <row r="1708" spans="1:9" x14ac:dyDescent="0.15">
      <c r="A1708" s="5">
        <v>1707</v>
      </c>
      <c r="B1708" s="6" t="s">
        <v>9</v>
      </c>
      <c r="C1708" s="7">
        <v>1882</v>
      </c>
      <c r="D1708" s="8">
        <v>45388</v>
      </c>
      <c r="E1708" s="9" t="str">
        <f>+HYPERLINK("http://trademark.i-assist.jp/data/china/image_1882th/76260679.pdf","76260679")</f>
        <v>76260679</v>
      </c>
      <c r="F1708" s="6" t="s">
        <v>4549</v>
      </c>
      <c r="G1708" s="6" t="s">
        <v>4550</v>
      </c>
      <c r="H1708" s="8" t="s">
        <v>4752</v>
      </c>
      <c r="I1708" s="14">
        <v>45299</v>
      </c>
    </row>
    <row r="1709" spans="1:9" x14ac:dyDescent="0.15">
      <c r="A1709" s="5">
        <v>1708</v>
      </c>
      <c r="B1709" s="6" t="s">
        <v>9</v>
      </c>
      <c r="C1709" s="7">
        <v>1882</v>
      </c>
      <c r="D1709" s="8">
        <v>45388</v>
      </c>
      <c r="E1709" s="9" t="str">
        <f>+HYPERLINK("http://trademark.i-assist.jp/data/china/image_1882th/76261012.pdf","76261012")</f>
        <v>76261012</v>
      </c>
      <c r="F1709" s="6" t="s">
        <v>4753</v>
      </c>
      <c r="G1709" s="6" t="s">
        <v>4754</v>
      </c>
      <c r="H1709" s="8" t="s">
        <v>4755</v>
      </c>
      <c r="I1709" s="14">
        <v>45299</v>
      </c>
    </row>
    <row r="1710" spans="1:9" x14ac:dyDescent="0.15">
      <c r="A1710" s="5">
        <v>1709</v>
      </c>
      <c r="B1710" s="6" t="s">
        <v>9</v>
      </c>
      <c r="C1710" s="7">
        <v>1882</v>
      </c>
      <c r="D1710" s="8">
        <v>45388</v>
      </c>
      <c r="E1710" s="9" t="str">
        <f>+HYPERLINK("http://trademark.i-assist.jp/data/china/image_1882th/76261015.pdf","76261015")</f>
        <v>76261015</v>
      </c>
      <c r="F1710" s="6" t="s">
        <v>4756</v>
      </c>
      <c r="G1710" s="6" t="s">
        <v>4754</v>
      </c>
      <c r="H1710" s="8" t="s">
        <v>4757</v>
      </c>
      <c r="I1710" s="14">
        <v>45299</v>
      </c>
    </row>
    <row r="1711" spans="1:9" x14ac:dyDescent="0.15">
      <c r="A1711" s="5">
        <v>1710</v>
      </c>
      <c r="B1711" s="6" t="s">
        <v>9</v>
      </c>
      <c r="C1711" s="7">
        <v>1882</v>
      </c>
      <c r="D1711" s="8">
        <v>45388</v>
      </c>
      <c r="E1711" s="9" t="str">
        <f>+HYPERLINK("http://trademark.i-assist.jp/data/china/image_1882th/76261038.pdf","76261038")</f>
        <v>76261038</v>
      </c>
      <c r="F1711" s="6" t="s">
        <v>4758</v>
      </c>
      <c r="G1711" s="6" t="s">
        <v>4759</v>
      </c>
      <c r="H1711" s="8" t="s">
        <v>4760</v>
      </c>
      <c r="I1711" s="14">
        <v>45299</v>
      </c>
    </row>
    <row r="1712" spans="1:9" x14ac:dyDescent="0.15">
      <c r="A1712" s="5">
        <v>1711</v>
      </c>
      <c r="B1712" s="6" t="s">
        <v>9</v>
      </c>
      <c r="C1712" s="7">
        <v>1882</v>
      </c>
      <c r="D1712" s="8">
        <v>45388</v>
      </c>
      <c r="E1712" s="9" t="str">
        <f>+HYPERLINK("http://trademark.i-assist.jp/data/china/image_1882th/76261164.pdf","76261164")</f>
        <v>76261164</v>
      </c>
      <c r="F1712" s="6" t="s">
        <v>4761</v>
      </c>
      <c r="G1712" s="6" t="s">
        <v>4335</v>
      </c>
      <c r="H1712" s="8" t="s">
        <v>4762</v>
      </c>
      <c r="I1712" s="14">
        <v>45299</v>
      </c>
    </row>
    <row r="1713" spans="1:9" x14ac:dyDescent="0.15">
      <c r="A1713" s="5">
        <v>1712</v>
      </c>
      <c r="B1713" s="6" t="s">
        <v>9</v>
      </c>
      <c r="C1713" s="7">
        <v>1882</v>
      </c>
      <c r="D1713" s="8">
        <v>45388</v>
      </c>
      <c r="E1713" s="9" t="str">
        <f>+HYPERLINK("http://trademark.i-assist.jp/data/china/image_1882th/76261227.pdf","76261227")</f>
        <v>76261227</v>
      </c>
      <c r="F1713" s="6" t="s">
        <v>4763</v>
      </c>
      <c r="G1713" s="6" t="s">
        <v>4341</v>
      </c>
      <c r="H1713" s="8" t="s">
        <v>4764</v>
      </c>
      <c r="I1713" s="14">
        <v>45299</v>
      </c>
    </row>
    <row r="1714" spans="1:9" x14ac:dyDescent="0.15">
      <c r="A1714" s="5">
        <v>1713</v>
      </c>
      <c r="B1714" s="6" t="s">
        <v>9</v>
      </c>
      <c r="C1714" s="7">
        <v>1882</v>
      </c>
      <c r="D1714" s="8">
        <v>45388</v>
      </c>
      <c r="E1714" s="9" t="str">
        <f>+HYPERLINK("http://trademark.i-assist.jp/data/china/image_1882th/76261256.pdf","76261256")</f>
        <v>76261256</v>
      </c>
      <c r="F1714" s="6" t="s">
        <v>4765</v>
      </c>
      <c r="G1714" s="6" t="s">
        <v>4766</v>
      </c>
      <c r="H1714" s="8" t="s">
        <v>4767</v>
      </c>
      <c r="I1714" s="14">
        <v>45299</v>
      </c>
    </row>
    <row r="1715" spans="1:9" x14ac:dyDescent="0.15">
      <c r="A1715" s="5">
        <v>1714</v>
      </c>
      <c r="B1715" s="6" t="s">
        <v>9</v>
      </c>
      <c r="C1715" s="7">
        <v>1882</v>
      </c>
      <c r="D1715" s="8">
        <v>45388</v>
      </c>
      <c r="E1715" s="9" t="str">
        <f>+HYPERLINK("http://trademark.i-assist.jp/data/china/image_1882th/76261651.pdf","76261651")</f>
        <v>76261651</v>
      </c>
      <c r="F1715" s="6" t="s">
        <v>4768</v>
      </c>
      <c r="G1715" s="6" t="s">
        <v>4769</v>
      </c>
      <c r="H1715" s="8" t="s">
        <v>4770</v>
      </c>
      <c r="I1715" s="14">
        <v>45299</v>
      </c>
    </row>
    <row r="1716" spans="1:9" x14ac:dyDescent="0.15">
      <c r="A1716" s="5">
        <v>1715</v>
      </c>
      <c r="B1716" s="6" t="s">
        <v>9</v>
      </c>
      <c r="C1716" s="7">
        <v>1882</v>
      </c>
      <c r="D1716" s="8">
        <v>45388</v>
      </c>
      <c r="E1716" s="9" t="str">
        <f>+HYPERLINK("http://trademark.i-assist.jp/data/china/image_1882th/76261692.pdf","76261692")</f>
        <v>76261692</v>
      </c>
      <c r="F1716" s="6" t="s">
        <v>4771</v>
      </c>
      <c r="G1716" s="6" t="s">
        <v>4772</v>
      </c>
      <c r="H1716" s="8" t="s">
        <v>4773</v>
      </c>
      <c r="I1716" s="14">
        <v>45299</v>
      </c>
    </row>
    <row r="1717" spans="1:9" x14ac:dyDescent="0.15">
      <c r="A1717" s="5">
        <v>1716</v>
      </c>
      <c r="B1717" s="6" t="s">
        <v>9</v>
      </c>
      <c r="C1717" s="7">
        <v>1882</v>
      </c>
      <c r="D1717" s="8">
        <v>45388</v>
      </c>
      <c r="E1717" s="9" t="str">
        <f>+HYPERLINK("http://trademark.i-assist.jp/data/china/image_1882th/76261901.pdf","76261901")</f>
        <v>76261901</v>
      </c>
      <c r="F1717" s="6" t="s">
        <v>4774</v>
      </c>
      <c r="G1717" s="6" t="s">
        <v>4327</v>
      </c>
      <c r="H1717" s="8" t="s">
        <v>4775</v>
      </c>
      <c r="I1717" s="14">
        <v>45299</v>
      </c>
    </row>
    <row r="1718" spans="1:9" x14ac:dyDescent="0.15">
      <c r="A1718" s="5">
        <v>1717</v>
      </c>
      <c r="B1718" s="6" t="s">
        <v>9</v>
      </c>
      <c r="C1718" s="7">
        <v>1882</v>
      </c>
      <c r="D1718" s="8">
        <v>45388</v>
      </c>
      <c r="E1718" s="9" t="str">
        <f>+HYPERLINK("http://trademark.i-assist.jp/data/china/image_1882th/76261955.pdf","76261955")</f>
        <v>76261955</v>
      </c>
      <c r="F1718" s="6" t="s">
        <v>4776</v>
      </c>
      <c r="G1718" s="6" t="s">
        <v>4777</v>
      </c>
      <c r="H1718" s="8" t="s">
        <v>4778</v>
      </c>
      <c r="I1718" s="14">
        <v>45299</v>
      </c>
    </row>
    <row r="1719" spans="1:9" x14ac:dyDescent="0.15">
      <c r="A1719" s="5">
        <v>1718</v>
      </c>
      <c r="B1719" s="6" t="s">
        <v>9</v>
      </c>
      <c r="C1719" s="7">
        <v>1882</v>
      </c>
      <c r="D1719" s="8">
        <v>45388</v>
      </c>
      <c r="E1719" s="9" t="str">
        <f>+HYPERLINK("http://trademark.i-assist.jp/data/china/image_1882th/76261981.pdf","76261981")</f>
        <v>76261981</v>
      </c>
      <c r="F1719" s="6" t="s">
        <v>4779</v>
      </c>
      <c r="G1719" s="6" t="s">
        <v>4780</v>
      </c>
      <c r="H1719" s="8" t="s">
        <v>4781</v>
      </c>
      <c r="I1719" s="14">
        <v>45299</v>
      </c>
    </row>
    <row r="1720" spans="1:9" x14ac:dyDescent="0.15">
      <c r="A1720" s="5">
        <v>1719</v>
      </c>
      <c r="B1720" s="6" t="s">
        <v>9</v>
      </c>
      <c r="C1720" s="7">
        <v>1882</v>
      </c>
      <c r="D1720" s="8">
        <v>45388</v>
      </c>
      <c r="E1720" s="9" t="str">
        <f>+HYPERLINK("http://trademark.i-assist.jp/data/china/image_1882th/76262047.pdf","76262047")</f>
        <v>76262047</v>
      </c>
      <c r="F1720" s="6" t="s">
        <v>4782</v>
      </c>
      <c r="G1720" s="6" t="s">
        <v>4783</v>
      </c>
      <c r="H1720" s="8" t="s">
        <v>4784</v>
      </c>
      <c r="I1720" s="14">
        <v>45299</v>
      </c>
    </row>
    <row r="1721" spans="1:9" x14ac:dyDescent="0.15">
      <c r="A1721" s="5">
        <v>1720</v>
      </c>
      <c r="B1721" s="6" t="s">
        <v>9</v>
      </c>
      <c r="C1721" s="7">
        <v>1882</v>
      </c>
      <c r="D1721" s="8">
        <v>45388</v>
      </c>
      <c r="E1721" s="9" t="str">
        <f>+HYPERLINK("http://trademark.i-assist.jp/data/china/image_1882th/76262070.pdf","76262070")</f>
        <v>76262070</v>
      </c>
      <c r="F1721" s="6" t="s">
        <v>4785</v>
      </c>
      <c r="G1721" s="6" t="s">
        <v>4719</v>
      </c>
      <c r="H1721" s="8" t="s">
        <v>4786</v>
      </c>
      <c r="I1721" s="14">
        <v>45299</v>
      </c>
    </row>
    <row r="1722" spans="1:9" x14ac:dyDescent="0.15">
      <c r="A1722" s="5">
        <v>1721</v>
      </c>
      <c r="B1722" s="6" t="s">
        <v>9</v>
      </c>
      <c r="C1722" s="7">
        <v>1882</v>
      </c>
      <c r="D1722" s="8">
        <v>45388</v>
      </c>
      <c r="E1722" s="9" t="str">
        <f>+HYPERLINK("http://trademark.i-assist.jp/data/china/image_1882th/76262087.pdf","76262087")</f>
        <v>76262087</v>
      </c>
      <c r="F1722" s="6" t="s">
        <v>4787</v>
      </c>
      <c r="G1722" s="6" t="s">
        <v>4788</v>
      </c>
      <c r="H1722" s="8" t="s">
        <v>4789</v>
      </c>
      <c r="I1722" s="14">
        <v>45299</v>
      </c>
    </row>
    <row r="1723" spans="1:9" x14ac:dyDescent="0.15">
      <c r="A1723" s="5">
        <v>1722</v>
      </c>
      <c r="B1723" s="6" t="s">
        <v>9</v>
      </c>
      <c r="C1723" s="7">
        <v>1882</v>
      </c>
      <c r="D1723" s="8">
        <v>45388</v>
      </c>
      <c r="E1723" s="9" t="str">
        <f>+HYPERLINK("http://trademark.i-assist.jp/data/china/image_1882th/76262128.pdf","76262128")</f>
        <v>76262128</v>
      </c>
      <c r="F1723" s="6" t="s">
        <v>4790</v>
      </c>
      <c r="G1723" s="6" t="s">
        <v>4392</v>
      </c>
      <c r="H1723" s="8" t="s">
        <v>4791</v>
      </c>
      <c r="I1723" s="14">
        <v>45299</v>
      </c>
    </row>
    <row r="1724" spans="1:9" x14ac:dyDescent="0.15">
      <c r="A1724" s="5">
        <v>1723</v>
      </c>
      <c r="B1724" s="6" t="s">
        <v>9</v>
      </c>
      <c r="C1724" s="7">
        <v>1882</v>
      </c>
      <c r="D1724" s="8">
        <v>45388</v>
      </c>
      <c r="E1724" s="9" t="str">
        <f>+HYPERLINK("http://trademark.i-assist.jp/data/china/image_1882th/76262284.pdf","76262284")</f>
        <v>76262284</v>
      </c>
      <c r="F1724" s="6" t="s">
        <v>4792</v>
      </c>
      <c r="G1724" s="6" t="s">
        <v>4327</v>
      </c>
      <c r="H1724" s="8" t="s">
        <v>4793</v>
      </c>
      <c r="I1724" s="14">
        <v>45299</v>
      </c>
    </row>
    <row r="1725" spans="1:9" x14ac:dyDescent="0.15">
      <c r="A1725" s="5">
        <v>1724</v>
      </c>
      <c r="B1725" s="6" t="s">
        <v>9</v>
      </c>
      <c r="C1725" s="7">
        <v>1882</v>
      </c>
      <c r="D1725" s="8">
        <v>45388</v>
      </c>
      <c r="E1725" s="9" t="str">
        <f>+HYPERLINK("http://trademark.i-assist.jp/data/china/image_1882th/76262633.pdf","76262633")</f>
        <v>76262633</v>
      </c>
      <c r="F1725" s="6" t="s">
        <v>4794</v>
      </c>
      <c r="G1725" s="6" t="s">
        <v>4795</v>
      </c>
      <c r="H1725" s="8" t="s">
        <v>4796</v>
      </c>
      <c r="I1725" s="14">
        <v>45299</v>
      </c>
    </row>
    <row r="1726" spans="1:9" x14ac:dyDescent="0.15">
      <c r="A1726" s="5">
        <v>1725</v>
      </c>
      <c r="B1726" s="6" t="s">
        <v>9</v>
      </c>
      <c r="C1726" s="7">
        <v>1882</v>
      </c>
      <c r="D1726" s="8">
        <v>45388</v>
      </c>
      <c r="E1726" s="9" t="str">
        <f>+HYPERLINK("http://trademark.i-assist.jp/data/china/image_1882th/76262689.pdf","76262689")</f>
        <v>76262689</v>
      </c>
      <c r="F1726" s="6" t="s">
        <v>4797</v>
      </c>
      <c r="G1726" s="6" t="s">
        <v>4798</v>
      </c>
      <c r="H1726" s="8" t="s">
        <v>4799</v>
      </c>
      <c r="I1726" s="14">
        <v>45299</v>
      </c>
    </row>
    <row r="1727" spans="1:9" x14ac:dyDescent="0.15">
      <c r="A1727" s="5">
        <v>1726</v>
      </c>
      <c r="B1727" s="6" t="s">
        <v>9</v>
      </c>
      <c r="C1727" s="7">
        <v>1882</v>
      </c>
      <c r="D1727" s="8">
        <v>45388</v>
      </c>
      <c r="E1727" s="9" t="str">
        <f>+HYPERLINK("http://trademark.i-assist.jp/data/china/image_1882th/76262918.pdf","76262918")</f>
        <v>76262918</v>
      </c>
      <c r="F1727" s="6" t="s">
        <v>4800</v>
      </c>
      <c r="G1727" s="6" t="s">
        <v>4633</v>
      </c>
      <c r="H1727" s="8" t="s">
        <v>4801</v>
      </c>
      <c r="I1727" s="14">
        <v>45299</v>
      </c>
    </row>
    <row r="1728" spans="1:9" x14ac:dyDescent="0.15">
      <c r="A1728" s="5">
        <v>1727</v>
      </c>
      <c r="B1728" s="6" t="s">
        <v>9</v>
      </c>
      <c r="C1728" s="7">
        <v>1882</v>
      </c>
      <c r="D1728" s="8">
        <v>45388</v>
      </c>
      <c r="E1728" s="9" t="str">
        <f>+HYPERLINK("http://trademark.i-assist.jp/data/china/image_1882th/76262923.pdf","76262923")</f>
        <v>76262923</v>
      </c>
      <c r="F1728" s="6" t="s">
        <v>4802</v>
      </c>
      <c r="G1728" s="6" t="s">
        <v>4803</v>
      </c>
      <c r="H1728" s="8" t="s">
        <v>4804</v>
      </c>
      <c r="I1728" s="14">
        <v>45299</v>
      </c>
    </row>
    <row r="1729" spans="1:9" x14ac:dyDescent="0.15">
      <c r="A1729" s="5">
        <v>1728</v>
      </c>
      <c r="B1729" s="6" t="s">
        <v>9</v>
      </c>
      <c r="C1729" s="7">
        <v>1882</v>
      </c>
      <c r="D1729" s="8">
        <v>45388</v>
      </c>
      <c r="E1729" s="9" t="str">
        <f>+HYPERLINK("http://trademark.i-assist.jp/data/china/image_1882th/76262973.pdf","76262973")</f>
        <v>76262973</v>
      </c>
      <c r="F1729" s="6" t="s">
        <v>4805</v>
      </c>
      <c r="G1729" s="6" t="s">
        <v>4806</v>
      </c>
      <c r="H1729" s="8" t="s">
        <v>4807</v>
      </c>
      <c r="I1729" s="14">
        <v>45299</v>
      </c>
    </row>
    <row r="1730" spans="1:9" x14ac:dyDescent="0.15">
      <c r="A1730" s="5">
        <v>1729</v>
      </c>
      <c r="B1730" s="6" t="s">
        <v>9</v>
      </c>
      <c r="C1730" s="7">
        <v>1882</v>
      </c>
      <c r="D1730" s="8">
        <v>45388</v>
      </c>
      <c r="E1730" s="9" t="str">
        <f>+HYPERLINK("http://trademark.i-assist.jp/data/china/image_1882th/76263027.pdf","76263027")</f>
        <v>76263027</v>
      </c>
      <c r="F1730" s="6" t="s">
        <v>4808</v>
      </c>
      <c r="G1730" s="6" t="s">
        <v>4566</v>
      </c>
      <c r="H1730" s="8" t="s">
        <v>3390</v>
      </c>
      <c r="I1730" s="14">
        <v>45299</v>
      </c>
    </row>
    <row r="1731" spans="1:9" x14ac:dyDescent="0.15">
      <c r="A1731" s="5">
        <v>1730</v>
      </c>
      <c r="B1731" s="6" t="s">
        <v>9</v>
      </c>
      <c r="C1731" s="7">
        <v>1882</v>
      </c>
      <c r="D1731" s="8">
        <v>45388</v>
      </c>
      <c r="E1731" s="9" t="str">
        <f>+HYPERLINK("http://trademark.i-assist.jp/data/china/image_1882th/76263085.pdf","76263085")</f>
        <v>76263085</v>
      </c>
      <c r="F1731" s="6" t="s">
        <v>4809</v>
      </c>
      <c r="G1731" s="6" t="s">
        <v>4711</v>
      </c>
      <c r="H1731" s="8" t="s">
        <v>4810</v>
      </c>
      <c r="I1731" s="14">
        <v>45299</v>
      </c>
    </row>
    <row r="1732" spans="1:9" x14ac:dyDescent="0.15">
      <c r="A1732" s="5">
        <v>1731</v>
      </c>
      <c r="B1732" s="6" t="s">
        <v>9</v>
      </c>
      <c r="C1732" s="7">
        <v>1882</v>
      </c>
      <c r="D1732" s="8">
        <v>45388</v>
      </c>
      <c r="E1732" s="9" t="str">
        <f>+HYPERLINK("http://trademark.i-assist.jp/data/china/image_1882th/76263104.pdf","76263104")</f>
        <v>76263104</v>
      </c>
      <c r="F1732" s="6" t="s">
        <v>4811</v>
      </c>
      <c r="G1732" s="6" t="s">
        <v>1272</v>
      </c>
      <c r="H1732" s="8" t="s">
        <v>4812</v>
      </c>
      <c r="I1732" s="14">
        <v>45299</v>
      </c>
    </row>
    <row r="1733" spans="1:9" x14ac:dyDescent="0.15">
      <c r="A1733" s="5">
        <v>1732</v>
      </c>
      <c r="B1733" s="6" t="s">
        <v>9</v>
      </c>
      <c r="C1733" s="7">
        <v>1882</v>
      </c>
      <c r="D1733" s="8">
        <v>45388</v>
      </c>
      <c r="E1733" s="9" t="str">
        <f>+HYPERLINK("http://trademark.i-assist.jp/data/china/image_1882th/76263112.pdf","76263112")</f>
        <v>76263112</v>
      </c>
      <c r="F1733" s="6" t="s">
        <v>4813</v>
      </c>
      <c r="G1733" s="6" t="s">
        <v>4814</v>
      </c>
      <c r="H1733" s="8" t="s">
        <v>4815</v>
      </c>
      <c r="I1733" s="14">
        <v>45299</v>
      </c>
    </row>
    <row r="1734" spans="1:9" x14ac:dyDescent="0.15">
      <c r="A1734" s="5">
        <v>1733</v>
      </c>
      <c r="B1734" s="6" t="s">
        <v>9</v>
      </c>
      <c r="C1734" s="7">
        <v>1882</v>
      </c>
      <c r="D1734" s="8">
        <v>45388</v>
      </c>
      <c r="E1734" s="9" t="str">
        <f>+HYPERLINK("http://trademark.i-assist.jp/data/china/image_1882th/76263179.pdf","76263179")</f>
        <v>76263179</v>
      </c>
      <c r="F1734" s="6" t="s">
        <v>4816</v>
      </c>
      <c r="G1734" s="6" t="s">
        <v>4817</v>
      </c>
      <c r="H1734" s="8" t="s">
        <v>4818</v>
      </c>
      <c r="I1734" s="14">
        <v>45299</v>
      </c>
    </row>
    <row r="1735" spans="1:9" x14ac:dyDescent="0.15">
      <c r="A1735" s="5">
        <v>1734</v>
      </c>
      <c r="B1735" s="6" t="s">
        <v>9</v>
      </c>
      <c r="C1735" s="7">
        <v>1882</v>
      </c>
      <c r="D1735" s="8">
        <v>45388</v>
      </c>
      <c r="E1735" s="9" t="str">
        <f>+HYPERLINK("http://trademark.i-assist.jp/data/china/image_1882th/76263273.pdf","76263273")</f>
        <v>76263273</v>
      </c>
      <c r="F1735" s="6" t="s">
        <v>4819</v>
      </c>
      <c r="G1735" s="6" t="s">
        <v>4555</v>
      </c>
      <c r="H1735" s="8" t="s">
        <v>4820</v>
      </c>
      <c r="I1735" s="14">
        <v>45299</v>
      </c>
    </row>
    <row r="1736" spans="1:9" x14ac:dyDescent="0.15">
      <c r="A1736" s="5">
        <v>1735</v>
      </c>
      <c r="B1736" s="6" t="s">
        <v>9</v>
      </c>
      <c r="C1736" s="7">
        <v>1882</v>
      </c>
      <c r="D1736" s="8">
        <v>45388</v>
      </c>
      <c r="E1736" s="9" t="str">
        <f>+HYPERLINK("http://trademark.i-assist.jp/data/china/image_1882th/76263284.pdf","76263284")</f>
        <v>76263284</v>
      </c>
      <c r="F1736" s="6" t="s">
        <v>4821</v>
      </c>
      <c r="G1736" s="6" t="s">
        <v>4555</v>
      </c>
      <c r="H1736" s="8" t="s">
        <v>4822</v>
      </c>
      <c r="I1736" s="14">
        <v>45299</v>
      </c>
    </row>
    <row r="1737" spans="1:9" x14ac:dyDescent="0.15">
      <c r="A1737" s="5">
        <v>1736</v>
      </c>
      <c r="B1737" s="6" t="s">
        <v>9</v>
      </c>
      <c r="C1737" s="7">
        <v>1882</v>
      </c>
      <c r="D1737" s="8">
        <v>45388</v>
      </c>
      <c r="E1737" s="9" t="str">
        <f>+HYPERLINK("http://trademark.i-assist.jp/data/china/image_1882th/76263344.pdf","76263344")</f>
        <v>76263344</v>
      </c>
      <c r="F1737" s="6" t="s">
        <v>4823</v>
      </c>
      <c r="G1737" s="6" t="s">
        <v>4824</v>
      </c>
      <c r="H1737" s="8" t="s">
        <v>4825</v>
      </c>
      <c r="I1737" s="14">
        <v>45299</v>
      </c>
    </row>
    <row r="1738" spans="1:9" x14ac:dyDescent="0.15">
      <c r="A1738" s="5">
        <v>1737</v>
      </c>
      <c r="B1738" s="6" t="s">
        <v>9</v>
      </c>
      <c r="C1738" s="7">
        <v>1882</v>
      </c>
      <c r="D1738" s="8">
        <v>45388</v>
      </c>
      <c r="E1738" s="9" t="str">
        <f>+HYPERLINK("http://trademark.i-assist.jp/data/china/image_1882th/76263477.pdf","76263477")</f>
        <v>76263477</v>
      </c>
      <c r="F1738" s="6" t="s">
        <v>4826</v>
      </c>
      <c r="G1738" s="6" t="s">
        <v>4568</v>
      </c>
      <c r="H1738" s="8" t="s">
        <v>4827</v>
      </c>
      <c r="I1738" s="14">
        <v>45299</v>
      </c>
    </row>
    <row r="1739" spans="1:9" x14ac:dyDescent="0.15">
      <c r="A1739" s="5">
        <v>1738</v>
      </c>
      <c r="B1739" s="6" t="s">
        <v>9</v>
      </c>
      <c r="C1739" s="7">
        <v>1882</v>
      </c>
      <c r="D1739" s="8">
        <v>45388</v>
      </c>
      <c r="E1739" s="9" t="str">
        <f>+HYPERLINK("http://trademark.i-assist.jp/data/china/image_1882th/76263590.pdf","76263590")</f>
        <v>76263590</v>
      </c>
      <c r="F1739" s="6" t="s">
        <v>4828</v>
      </c>
      <c r="G1739" s="6" t="s">
        <v>4719</v>
      </c>
      <c r="H1739" s="8" t="s">
        <v>4829</v>
      </c>
      <c r="I1739" s="14">
        <v>45299</v>
      </c>
    </row>
    <row r="1740" spans="1:9" x14ac:dyDescent="0.15">
      <c r="A1740" s="5">
        <v>1739</v>
      </c>
      <c r="B1740" s="6" t="s">
        <v>9</v>
      </c>
      <c r="C1740" s="7">
        <v>1882</v>
      </c>
      <c r="D1740" s="8">
        <v>45388</v>
      </c>
      <c r="E1740" s="9" t="str">
        <f>+HYPERLINK("http://trademark.i-assist.jp/data/china/image_1882th/76263685.pdf","76263685")</f>
        <v>76263685</v>
      </c>
      <c r="F1740" s="6" t="s">
        <v>4830</v>
      </c>
      <c r="G1740" s="6" t="s">
        <v>4831</v>
      </c>
      <c r="H1740" s="8" t="s">
        <v>4832</v>
      </c>
      <c r="I1740" s="14">
        <v>45299</v>
      </c>
    </row>
    <row r="1741" spans="1:9" x14ac:dyDescent="0.15">
      <c r="A1741" s="5">
        <v>1740</v>
      </c>
      <c r="B1741" s="6" t="s">
        <v>9</v>
      </c>
      <c r="C1741" s="7">
        <v>1882</v>
      </c>
      <c r="D1741" s="8">
        <v>45388</v>
      </c>
      <c r="E1741" s="9" t="str">
        <f>+HYPERLINK("http://trademark.i-assist.jp/data/china/image_1882th/76263784.pdf","76263784")</f>
        <v>76263784</v>
      </c>
      <c r="F1741" s="6" t="s">
        <v>4833</v>
      </c>
      <c r="G1741" s="6" t="s">
        <v>4834</v>
      </c>
      <c r="H1741" s="8" t="s">
        <v>4835</v>
      </c>
      <c r="I1741" s="14">
        <v>45299</v>
      </c>
    </row>
    <row r="1742" spans="1:9" x14ac:dyDescent="0.15">
      <c r="A1742" s="5">
        <v>1741</v>
      </c>
      <c r="B1742" s="6" t="s">
        <v>9</v>
      </c>
      <c r="C1742" s="7">
        <v>1882</v>
      </c>
      <c r="D1742" s="8">
        <v>45388</v>
      </c>
      <c r="E1742" s="9" t="str">
        <f>+HYPERLINK("http://trademark.i-assist.jp/data/china/image_1882th/76264178.pdf","76264178")</f>
        <v>76264178</v>
      </c>
      <c r="F1742" s="6" t="s">
        <v>4836</v>
      </c>
      <c r="G1742" s="6" t="s">
        <v>4341</v>
      </c>
      <c r="H1742" s="8" t="s">
        <v>4837</v>
      </c>
      <c r="I1742" s="14">
        <v>45299</v>
      </c>
    </row>
    <row r="1743" spans="1:9" x14ac:dyDescent="0.15">
      <c r="A1743" s="5">
        <v>1742</v>
      </c>
      <c r="B1743" s="6" t="s">
        <v>9</v>
      </c>
      <c r="C1743" s="7">
        <v>1882</v>
      </c>
      <c r="D1743" s="8">
        <v>45388</v>
      </c>
      <c r="E1743" s="9" t="str">
        <f>+HYPERLINK("http://trademark.i-assist.jp/data/china/image_1882th/76264351.pdf","76264351")</f>
        <v>76264351</v>
      </c>
      <c r="F1743" s="6" t="s">
        <v>4838</v>
      </c>
      <c r="G1743" s="6" t="s">
        <v>4839</v>
      </c>
      <c r="H1743" s="8" t="s">
        <v>4840</v>
      </c>
      <c r="I1743" s="14">
        <v>45299</v>
      </c>
    </row>
    <row r="1744" spans="1:9" x14ac:dyDescent="0.15">
      <c r="A1744" s="5">
        <v>1743</v>
      </c>
      <c r="B1744" s="6" t="s">
        <v>9</v>
      </c>
      <c r="C1744" s="7">
        <v>1882</v>
      </c>
      <c r="D1744" s="8">
        <v>45388</v>
      </c>
      <c r="E1744" s="9" t="str">
        <f>+HYPERLINK("http://trademark.i-assist.jp/data/china/image_1882th/76264447.pdf","76264447")</f>
        <v>76264447</v>
      </c>
      <c r="F1744" s="6" t="s">
        <v>4841</v>
      </c>
      <c r="G1744" s="6" t="s">
        <v>4341</v>
      </c>
      <c r="H1744" s="8" t="s">
        <v>4842</v>
      </c>
      <c r="I1744" s="14">
        <v>45299</v>
      </c>
    </row>
    <row r="1745" spans="1:9" x14ac:dyDescent="0.15">
      <c r="A1745" s="5">
        <v>1744</v>
      </c>
      <c r="B1745" s="6" t="s">
        <v>9</v>
      </c>
      <c r="C1745" s="7">
        <v>1882</v>
      </c>
      <c r="D1745" s="8">
        <v>45388</v>
      </c>
      <c r="E1745" s="9" t="str">
        <f>+HYPERLINK("http://trademark.i-assist.jp/data/china/image_1882th/76264454.pdf","76264454")</f>
        <v>76264454</v>
      </c>
      <c r="F1745" s="6" t="s">
        <v>4843</v>
      </c>
      <c r="G1745" s="6" t="s">
        <v>4341</v>
      </c>
      <c r="H1745" s="8" t="s">
        <v>4844</v>
      </c>
      <c r="I1745" s="14">
        <v>45299</v>
      </c>
    </row>
    <row r="1746" spans="1:9" x14ac:dyDescent="0.15">
      <c r="A1746" s="5">
        <v>1745</v>
      </c>
      <c r="B1746" s="6" t="s">
        <v>9</v>
      </c>
      <c r="C1746" s="7">
        <v>1882</v>
      </c>
      <c r="D1746" s="8">
        <v>45388</v>
      </c>
      <c r="E1746" s="9" t="str">
        <f>+HYPERLINK("http://trademark.i-assist.jp/data/china/image_1882th/76264866.pdf","76264866")</f>
        <v>76264866</v>
      </c>
      <c r="F1746" s="6" t="s">
        <v>4845</v>
      </c>
      <c r="G1746" s="6" t="s">
        <v>4846</v>
      </c>
      <c r="H1746" s="8" t="s">
        <v>4847</v>
      </c>
      <c r="I1746" s="14">
        <v>45299</v>
      </c>
    </row>
    <row r="1747" spans="1:9" x14ac:dyDescent="0.15">
      <c r="A1747" s="5">
        <v>1746</v>
      </c>
      <c r="B1747" s="6" t="s">
        <v>9</v>
      </c>
      <c r="C1747" s="7">
        <v>1882</v>
      </c>
      <c r="D1747" s="8">
        <v>45388</v>
      </c>
      <c r="E1747" s="9" t="str">
        <f>+HYPERLINK("http://trademark.i-assist.jp/data/china/image_1882th/76264898.pdf","76264898")</f>
        <v>76264898</v>
      </c>
      <c r="F1747" s="6" t="s">
        <v>26</v>
      </c>
      <c r="G1747" s="6" t="s">
        <v>4848</v>
      </c>
      <c r="H1747" s="8" t="s">
        <v>4849</v>
      </c>
      <c r="I1747" s="14">
        <v>45299</v>
      </c>
    </row>
    <row r="1748" spans="1:9" x14ac:dyDescent="0.15">
      <c r="A1748" s="5">
        <v>1747</v>
      </c>
      <c r="B1748" s="6" t="s">
        <v>9</v>
      </c>
      <c r="C1748" s="7">
        <v>1882</v>
      </c>
      <c r="D1748" s="8">
        <v>45388</v>
      </c>
      <c r="E1748" s="9" t="str">
        <f>+HYPERLINK("http://trademark.i-assist.jp/data/china/image_1882th/76264982.pdf","76264982")</f>
        <v>76264982</v>
      </c>
      <c r="F1748" s="6" t="s">
        <v>4850</v>
      </c>
      <c r="G1748" s="6" t="s">
        <v>4851</v>
      </c>
      <c r="H1748" s="8" t="s">
        <v>4852</v>
      </c>
      <c r="I1748" s="14">
        <v>45299</v>
      </c>
    </row>
    <row r="1749" spans="1:9" x14ac:dyDescent="0.15">
      <c r="A1749" s="5">
        <v>1748</v>
      </c>
      <c r="B1749" s="6" t="s">
        <v>9</v>
      </c>
      <c r="C1749" s="7">
        <v>1882</v>
      </c>
      <c r="D1749" s="8">
        <v>45388</v>
      </c>
      <c r="E1749" s="9" t="str">
        <f>+HYPERLINK("http://trademark.i-assist.jp/data/china/image_1882th/76265164.pdf","76265164")</f>
        <v>76265164</v>
      </c>
      <c r="F1749" s="6" t="s">
        <v>4853</v>
      </c>
      <c r="G1749" s="6" t="s">
        <v>4854</v>
      </c>
      <c r="H1749" s="8" t="s">
        <v>4855</v>
      </c>
      <c r="I1749" s="14">
        <v>45299</v>
      </c>
    </row>
    <row r="1750" spans="1:9" x14ac:dyDescent="0.15">
      <c r="A1750" s="5">
        <v>1749</v>
      </c>
      <c r="B1750" s="6" t="s">
        <v>9</v>
      </c>
      <c r="C1750" s="7">
        <v>1882</v>
      </c>
      <c r="D1750" s="8">
        <v>45388</v>
      </c>
      <c r="E1750" s="9" t="str">
        <f>+HYPERLINK("http://trademark.i-assist.jp/data/china/image_1882th/76265283.pdf","76265283")</f>
        <v>76265283</v>
      </c>
      <c r="F1750" s="6" t="s">
        <v>4856</v>
      </c>
      <c r="G1750" s="6" t="s">
        <v>4857</v>
      </c>
      <c r="H1750" s="8" t="s">
        <v>4858</v>
      </c>
      <c r="I1750" s="14">
        <v>45299</v>
      </c>
    </row>
    <row r="1751" spans="1:9" x14ac:dyDescent="0.15">
      <c r="A1751" s="5">
        <v>1750</v>
      </c>
      <c r="B1751" s="6" t="s">
        <v>9</v>
      </c>
      <c r="C1751" s="7">
        <v>1882</v>
      </c>
      <c r="D1751" s="8">
        <v>45388</v>
      </c>
      <c r="E1751" s="9" t="str">
        <f>+HYPERLINK("http://trademark.i-assist.jp/data/china/image_1882th/76265391.pdf","76265391")</f>
        <v>76265391</v>
      </c>
      <c r="F1751" s="6" t="s">
        <v>4859</v>
      </c>
      <c r="G1751" s="6" t="s">
        <v>4860</v>
      </c>
      <c r="H1751" s="8" t="s">
        <v>4861</v>
      </c>
      <c r="I1751" s="14">
        <v>45299</v>
      </c>
    </row>
    <row r="1752" spans="1:9" x14ac:dyDescent="0.15">
      <c r="A1752" s="5">
        <v>1751</v>
      </c>
      <c r="B1752" s="6" t="s">
        <v>9</v>
      </c>
      <c r="C1752" s="7">
        <v>1882</v>
      </c>
      <c r="D1752" s="8">
        <v>45388</v>
      </c>
      <c r="E1752" s="9" t="str">
        <f>+HYPERLINK("http://trademark.i-assist.jp/data/china/image_1882th/76265535.pdf","76265535")</f>
        <v>76265535</v>
      </c>
      <c r="F1752" s="6" t="s">
        <v>4862</v>
      </c>
      <c r="G1752" s="6" t="s">
        <v>4687</v>
      </c>
      <c r="H1752" s="8" t="s">
        <v>4863</v>
      </c>
      <c r="I1752" s="14">
        <v>45299</v>
      </c>
    </row>
    <row r="1753" spans="1:9" x14ac:dyDescent="0.15">
      <c r="A1753" s="5">
        <v>1752</v>
      </c>
      <c r="B1753" s="6" t="s">
        <v>9</v>
      </c>
      <c r="C1753" s="7">
        <v>1882</v>
      </c>
      <c r="D1753" s="8">
        <v>45388</v>
      </c>
      <c r="E1753" s="9" t="str">
        <f>+HYPERLINK("http://trademark.i-assist.jp/data/china/image_1882th/76265544.pdf","76265544")</f>
        <v>76265544</v>
      </c>
      <c r="F1753" s="6" t="s">
        <v>4864</v>
      </c>
      <c r="G1753" s="6" t="s">
        <v>4865</v>
      </c>
      <c r="H1753" s="8" t="s">
        <v>3293</v>
      </c>
      <c r="I1753" s="14">
        <v>45299</v>
      </c>
    </row>
    <row r="1754" spans="1:9" x14ac:dyDescent="0.15">
      <c r="A1754" s="5">
        <v>1753</v>
      </c>
      <c r="B1754" s="6" t="s">
        <v>9</v>
      </c>
      <c r="C1754" s="7">
        <v>1882</v>
      </c>
      <c r="D1754" s="8">
        <v>45388</v>
      </c>
      <c r="E1754" s="9" t="str">
        <f>+HYPERLINK("http://trademark.i-assist.jp/data/china/image_1882th/76265671.pdf","76265671")</f>
        <v>76265671</v>
      </c>
      <c r="F1754" s="6" t="s">
        <v>4866</v>
      </c>
      <c r="G1754" s="6" t="s">
        <v>4867</v>
      </c>
      <c r="H1754" s="8" t="s">
        <v>4868</v>
      </c>
      <c r="I1754" s="14">
        <v>45299</v>
      </c>
    </row>
    <row r="1755" spans="1:9" x14ac:dyDescent="0.15">
      <c r="A1755" s="5">
        <v>1754</v>
      </c>
      <c r="B1755" s="6" t="s">
        <v>9</v>
      </c>
      <c r="C1755" s="7">
        <v>1882</v>
      </c>
      <c r="D1755" s="8">
        <v>45388</v>
      </c>
      <c r="E1755" s="9" t="str">
        <f>+HYPERLINK("http://trademark.i-assist.jp/data/china/image_1882th/76265797.pdf","76265797")</f>
        <v>76265797</v>
      </c>
      <c r="F1755" s="6" t="s">
        <v>4869</v>
      </c>
      <c r="G1755" s="6" t="s">
        <v>4870</v>
      </c>
      <c r="H1755" s="8" t="s">
        <v>4871</v>
      </c>
      <c r="I1755" s="14">
        <v>45299</v>
      </c>
    </row>
    <row r="1756" spans="1:9" x14ac:dyDescent="0.15">
      <c r="A1756" s="5">
        <v>1755</v>
      </c>
      <c r="B1756" s="6" t="s">
        <v>9</v>
      </c>
      <c r="C1756" s="7">
        <v>1882</v>
      </c>
      <c r="D1756" s="8">
        <v>45388</v>
      </c>
      <c r="E1756" s="9" t="str">
        <f>+HYPERLINK("http://trademark.i-assist.jp/data/china/image_1882th/76265857.pdf","76265857")</f>
        <v>76265857</v>
      </c>
      <c r="F1756" s="6" t="s">
        <v>4872</v>
      </c>
      <c r="G1756" s="6" t="s">
        <v>4437</v>
      </c>
      <c r="H1756" s="8" t="s">
        <v>4873</v>
      </c>
      <c r="I1756" s="14">
        <v>45299</v>
      </c>
    </row>
    <row r="1757" spans="1:9" x14ac:dyDescent="0.15">
      <c r="A1757" s="5">
        <v>1756</v>
      </c>
      <c r="B1757" s="6" t="s">
        <v>9</v>
      </c>
      <c r="C1757" s="7">
        <v>1882</v>
      </c>
      <c r="D1757" s="8">
        <v>45388</v>
      </c>
      <c r="E1757" s="9" t="str">
        <f>+HYPERLINK("http://trademark.i-assist.jp/data/china/image_1882th/76265948.pdf","76265948")</f>
        <v>76265948</v>
      </c>
      <c r="F1757" s="6" t="s">
        <v>26</v>
      </c>
      <c r="G1757" s="6" t="s">
        <v>4874</v>
      </c>
      <c r="H1757" s="8" t="s">
        <v>4875</v>
      </c>
      <c r="I1757" s="14">
        <v>45299</v>
      </c>
    </row>
    <row r="1758" spans="1:9" x14ac:dyDescent="0.15">
      <c r="A1758" s="5">
        <v>1757</v>
      </c>
      <c r="B1758" s="6" t="s">
        <v>9</v>
      </c>
      <c r="C1758" s="7">
        <v>1882</v>
      </c>
      <c r="D1758" s="8">
        <v>45388</v>
      </c>
      <c r="E1758" s="9" t="str">
        <f>+HYPERLINK("http://trademark.i-assist.jp/data/china/image_1882th/76265951.pdf","76265951")</f>
        <v>76265951</v>
      </c>
      <c r="F1758" s="6" t="s">
        <v>4876</v>
      </c>
      <c r="G1758" s="6" t="s">
        <v>4440</v>
      </c>
      <c r="H1758" s="8" t="s">
        <v>4877</v>
      </c>
      <c r="I1758" s="14">
        <v>45299</v>
      </c>
    </row>
    <row r="1759" spans="1:9" x14ac:dyDescent="0.15">
      <c r="A1759" s="5">
        <v>1758</v>
      </c>
      <c r="B1759" s="6" t="s">
        <v>9</v>
      </c>
      <c r="C1759" s="7">
        <v>1882</v>
      </c>
      <c r="D1759" s="8">
        <v>45388</v>
      </c>
      <c r="E1759" s="9" t="str">
        <f>+HYPERLINK("http://trademark.i-assist.jp/data/china/image_1882th/76266034.pdf","76266034")</f>
        <v>76266034</v>
      </c>
      <c r="F1759" s="6" t="s">
        <v>4878</v>
      </c>
      <c r="G1759" s="6" t="s">
        <v>4453</v>
      </c>
      <c r="H1759" s="8" t="s">
        <v>4879</v>
      </c>
      <c r="I1759" s="14">
        <v>45299</v>
      </c>
    </row>
    <row r="1760" spans="1:9" x14ac:dyDescent="0.15">
      <c r="A1760" s="5">
        <v>1759</v>
      </c>
      <c r="B1760" s="6" t="s">
        <v>9</v>
      </c>
      <c r="C1760" s="7">
        <v>1882</v>
      </c>
      <c r="D1760" s="8">
        <v>45388</v>
      </c>
      <c r="E1760" s="9" t="str">
        <f>+HYPERLINK("http://trademark.i-assist.jp/data/china/image_1882th/76266044.pdf","76266044")</f>
        <v>76266044</v>
      </c>
      <c r="F1760" s="6" t="s">
        <v>4880</v>
      </c>
      <c r="G1760" s="6" t="s">
        <v>4881</v>
      </c>
      <c r="H1760" s="8" t="s">
        <v>4882</v>
      </c>
      <c r="I1760" s="14">
        <v>45299</v>
      </c>
    </row>
    <row r="1761" spans="1:9" x14ac:dyDescent="0.15">
      <c r="A1761" s="5">
        <v>1760</v>
      </c>
      <c r="B1761" s="6" t="s">
        <v>9</v>
      </c>
      <c r="C1761" s="7">
        <v>1882</v>
      </c>
      <c r="D1761" s="8">
        <v>45388</v>
      </c>
      <c r="E1761" s="9" t="str">
        <f>+HYPERLINK("http://trademark.i-assist.jp/data/china/image_1882th/76266048.pdf","76266048")</f>
        <v>76266048</v>
      </c>
      <c r="F1761" s="6" t="s">
        <v>4883</v>
      </c>
      <c r="G1761" s="6" t="s">
        <v>4884</v>
      </c>
      <c r="H1761" s="8" t="s">
        <v>4885</v>
      </c>
      <c r="I1761" s="14">
        <v>45299</v>
      </c>
    </row>
    <row r="1762" spans="1:9" x14ac:dyDescent="0.15">
      <c r="A1762" s="5">
        <v>1761</v>
      </c>
      <c r="B1762" s="6" t="s">
        <v>9</v>
      </c>
      <c r="C1762" s="7">
        <v>1882</v>
      </c>
      <c r="D1762" s="8">
        <v>45388</v>
      </c>
      <c r="E1762" s="9" t="str">
        <f>+HYPERLINK("http://trademark.i-assist.jp/data/china/image_1882th/76266066.pdf","76266066")</f>
        <v>76266066</v>
      </c>
      <c r="F1762" s="6" t="s">
        <v>4886</v>
      </c>
      <c r="G1762" s="6" t="s">
        <v>4884</v>
      </c>
      <c r="H1762" s="8" t="s">
        <v>4887</v>
      </c>
      <c r="I1762" s="14">
        <v>45299</v>
      </c>
    </row>
    <row r="1763" spans="1:9" x14ac:dyDescent="0.15">
      <c r="A1763" s="5">
        <v>1762</v>
      </c>
      <c r="B1763" s="6" t="s">
        <v>9</v>
      </c>
      <c r="C1763" s="7">
        <v>1882</v>
      </c>
      <c r="D1763" s="8">
        <v>45388</v>
      </c>
      <c r="E1763" s="9" t="str">
        <f>+HYPERLINK("http://trademark.i-assist.jp/data/china/image_1882th/76266099.pdf","76266099")</f>
        <v>76266099</v>
      </c>
      <c r="F1763" s="6" t="s">
        <v>4888</v>
      </c>
      <c r="G1763" s="6" t="s">
        <v>4795</v>
      </c>
      <c r="H1763" s="8" t="s">
        <v>4889</v>
      </c>
      <c r="I1763" s="14">
        <v>45299</v>
      </c>
    </row>
    <row r="1764" spans="1:9" x14ac:dyDescent="0.15">
      <c r="A1764" s="5">
        <v>1763</v>
      </c>
      <c r="B1764" s="6" t="s">
        <v>9</v>
      </c>
      <c r="C1764" s="7">
        <v>1882</v>
      </c>
      <c r="D1764" s="8">
        <v>45388</v>
      </c>
      <c r="E1764" s="9" t="str">
        <f>+HYPERLINK("http://trademark.i-assist.jp/data/china/image_1882th/76266516.pdf","76266516")</f>
        <v>76266516</v>
      </c>
      <c r="F1764" s="6" t="s">
        <v>4890</v>
      </c>
      <c r="G1764" s="6" t="s">
        <v>4891</v>
      </c>
      <c r="H1764" s="8" t="s">
        <v>4892</v>
      </c>
      <c r="I1764" s="14">
        <v>45299</v>
      </c>
    </row>
    <row r="1765" spans="1:9" x14ac:dyDescent="0.15">
      <c r="A1765" s="5">
        <v>1764</v>
      </c>
      <c r="B1765" s="6" t="s">
        <v>9</v>
      </c>
      <c r="C1765" s="7">
        <v>1882</v>
      </c>
      <c r="D1765" s="8">
        <v>45388</v>
      </c>
      <c r="E1765" s="9" t="str">
        <f>+HYPERLINK("http://trademark.i-assist.jp/data/china/image_1882th/76266575.pdf","76266575")</f>
        <v>76266575</v>
      </c>
      <c r="F1765" s="6" t="s">
        <v>4893</v>
      </c>
      <c r="G1765" s="6" t="s">
        <v>4601</v>
      </c>
      <c r="H1765" s="8" t="s">
        <v>4894</v>
      </c>
      <c r="I1765" s="14">
        <v>45299</v>
      </c>
    </row>
    <row r="1766" spans="1:9" x14ac:dyDescent="0.15">
      <c r="A1766" s="5">
        <v>1765</v>
      </c>
      <c r="B1766" s="6" t="s">
        <v>9</v>
      </c>
      <c r="C1766" s="7">
        <v>1882</v>
      </c>
      <c r="D1766" s="8">
        <v>45388</v>
      </c>
      <c r="E1766" s="9" t="str">
        <f>+HYPERLINK("http://trademark.i-assist.jp/data/china/image_1882th/76266602.pdf","76266602")</f>
        <v>76266602</v>
      </c>
      <c r="F1766" s="6" t="s">
        <v>4895</v>
      </c>
      <c r="G1766" s="6" t="s">
        <v>4392</v>
      </c>
      <c r="H1766" s="8" t="s">
        <v>4896</v>
      </c>
      <c r="I1766" s="14">
        <v>45299</v>
      </c>
    </row>
    <row r="1767" spans="1:9" x14ac:dyDescent="0.15">
      <c r="A1767" s="5">
        <v>1766</v>
      </c>
      <c r="B1767" s="6" t="s">
        <v>9</v>
      </c>
      <c r="C1767" s="7">
        <v>1882</v>
      </c>
      <c r="D1767" s="8">
        <v>45388</v>
      </c>
      <c r="E1767" s="9" t="str">
        <f>+HYPERLINK("http://trademark.i-assist.jp/data/china/image_1882th/76266622.pdf","76266622")</f>
        <v>76266622</v>
      </c>
      <c r="F1767" s="6" t="s">
        <v>26</v>
      </c>
      <c r="G1767" s="6" t="s">
        <v>2376</v>
      </c>
      <c r="H1767" s="8" t="s">
        <v>4897</v>
      </c>
      <c r="I1767" s="14">
        <v>45299</v>
      </c>
    </row>
    <row r="1768" spans="1:9" x14ac:dyDescent="0.15">
      <c r="A1768" s="5">
        <v>1767</v>
      </c>
      <c r="B1768" s="6" t="s">
        <v>9</v>
      </c>
      <c r="C1768" s="7">
        <v>1882</v>
      </c>
      <c r="D1768" s="8">
        <v>45388</v>
      </c>
      <c r="E1768" s="9" t="str">
        <f>+HYPERLINK("http://trademark.i-assist.jp/data/china/image_1882th/76266956.pdf","76266956")</f>
        <v>76266956</v>
      </c>
      <c r="F1768" s="6" t="s">
        <v>4898</v>
      </c>
      <c r="G1768" s="6" t="s">
        <v>4899</v>
      </c>
      <c r="H1768" s="8" t="s">
        <v>4900</v>
      </c>
      <c r="I1768" s="14">
        <v>45299</v>
      </c>
    </row>
    <row r="1769" spans="1:9" x14ac:dyDescent="0.15">
      <c r="A1769" s="5">
        <v>1768</v>
      </c>
      <c r="B1769" s="6" t="s">
        <v>9</v>
      </c>
      <c r="C1769" s="7">
        <v>1882</v>
      </c>
      <c r="D1769" s="8">
        <v>45388</v>
      </c>
      <c r="E1769" s="9" t="str">
        <f>+HYPERLINK("http://trademark.i-assist.jp/data/china/image_1882th/76266966.pdf","76266966")</f>
        <v>76266966</v>
      </c>
      <c r="F1769" s="6" t="s">
        <v>4901</v>
      </c>
      <c r="G1769" s="6" t="s">
        <v>4902</v>
      </c>
      <c r="H1769" s="8" t="s">
        <v>4903</v>
      </c>
      <c r="I1769" s="14">
        <v>45299</v>
      </c>
    </row>
    <row r="1770" spans="1:9" x14ac:dyDescent="0.15">
      <c r="A1770" s="5">
        <v>1769</v>
      </c>
      <c r="B1770" s="6" t="s">
        <v>9</v>
      </c>
      <c r="C1770" s="7">
        <v>1882</v>
      </c>
      <c r="D1770" s="8">
        <v>45388</v>
      </c>
      <c r="E1770" s="9" t="str">
        <f>+HYPERLINK("http://trademark.i-assist.jp/data/china/image_1882th/76267001.pdf","76267001")</f>
        <v>76267001</v>
      </c>
      <c r="F1770" s="6" t="s">
        <v>4904</v>
      </c>
      <c r="G1770" s="6" t="s">
        <v>4905</v>
      </c>
      <c r="H1770" s="8" t="s">
        <v>4906</v>
      </c>
      <c r="I1770" s="14">
        <v>45299</v>
      </c>
    </row>
    <row r="1771" spans="1:9" x14ac:dyDescent="0.15">
      <c r="A1771" s="5">
        <v>1770</v>
      </c>
      <c r="B1771" s="6" t="s">
        <v>9</v>
      </c>
      <c r="C1771" s="7">
        <v>1882</v>
      </c>
      <c r="D1771" s="8">
        <v>45388</v>
      </c>
      <c r="E1771" s="9" t="str">
        <f>+HYPERLINK("http://trademark.i-assist.jp/data/china/image_1882th/76267174.pdf","76267174")</f>
        <v>76267174</v>
      </c>
      <c r="F1771" s="6" t="s">
        <v>4907</v>
      </c>
      <c r="G1771" s="6" t="s">
        <v>4908</v>
      </c>
      <c r="H1771" s="8" t="s">
        <v>4909</v>
      </c>
      <c r="I1771" s="14">
        <v>45300</v>
      </c>
    </row>
    <row r="1772" spans="1:9" x14ac:dyDescent="0.15">
      <c r="A1772" s="5">
        <v>1771</v>
      </c>
      <c r="B1772" s="6" t="s">
        <v>9</v>
      </c>
      <c r="C1772" s="7">
        <v>1882</v>
      </c>
      <c r="D1772" s="8">
        <v>45388</v>
      </c>
      <c r="E1772" s="9" t="str">
        <f>+HYPERLINK("http://trademark.i-assist.jp/data/china/image_1882th/76267190.pdf","76267190")</f>
        <v>76267190</v>
      </c>
      <c r="F1772" s="6" t="s">
        <v>4910</v>
      </c>
      <c r="G1772" s="6" t="s">
        <v>4911</v>
      </c>
      <c r="H1772" s="8" t="s">
        <v>4912</v>
      </c>
      <c r="I1772" s="14">
        <v>45300</v>
      </c>
    </row>
    <row r="1773" spans="1:9" x14ac:dyDescent="0.15">
      <c r="A1773" s="5">
        <v>1772</v>
      </c>
      <c r="B1773" s="6" t="s">
        <v>9</v>
      </c>
      <c r="C1773" s="7">
        <v>1882</v>
      </c>
      <c r="D1773" s="8">
        <v>45388</v>
      </c>
      <c r="E1773" s="9" t="str">
        <f>+HYPERLINK("http://trademark.i-assist.jp/data/china/image_1882th/76267198.pdf","76267198")</f>
        <v>76267198</v>
      </c>
      <c r="F1773" s="6" t="s">
        <v>26</v>
      </c>
      <c r="G1773" s="6" t="s">
        <v>2645</v>
      </c>
      <c r="H1773" s="8" t="s">
        <v>4913</v>
      </c>
      <c r="I1773" s="14">
        <v>45300</v>
      </c>
    </row>
    <row r="1774" spans="1:9" x14ac:dyDescent="0.15">
      <c r="A1774" s="5">
        <v>1773</v>
      </c>
      <c r="B1774" s="6" t="s">
        <v>9</v>
      </c>
      <c r="C1774" s="7">
        <v>1882</v>
      </c>
      <c r="D1774" s="8">
        <v>45388</v>
      </c>
      <c r="E1774" s="9" t="str">
        <f>+HYPERLINK("http://trademark.i-assist.jp/data/china/image_1882th/76267272.pdf","76267272")</f>
        <v>76267272</v>
      </c>
      <c r="F1774" s="6" t="s">
        <v>4914</v>
      </c>
      <c r="G1774" s="6" t="s">
        <v>4915</v>
      </c>
      <c r="H1774" s="8" t="s">
        <v>4916</v>
      </c>
      <c r="I1774" s="14">
        <v>45300</v>
      </c>
    </row>
    <row r="1775" spans="1:9" x14ac:dyDescent="0.15">
      <c r="A1775" s="5">
        <v>1774</v>
      </c>
      <c r="B1775" s="6" t="s">
        <v>9</v>
      </c>
      <c r="C1775" s="7">
        <v>1882</v>
      </c>
      <c r="D1775" s="8">
        <v>45388</v>
      </c>
      <c r="E1775" s="9" t="str">
        <f>+HYPERLINK("http://trademark.i-assist.jp/data/china/image_1882th/76267297.pdf","76267297")</f>
        <v>76267297</v>
      </c>
      <c r="F1775" s="6" t="s">
        <v>4917</v>
      </c>
      <c r="G1775" s="6" t="s">
        <v>4918</v>
      </c>
      <c r="H1775" s="8" t="s">
        <v>4919</v>
      </c>
      <c r="I1775" s="14">
        <v>45300</v>
      </c>
    </row>
    <row r="1776" spans="1:9" x14ac:dyDescent="0.15">
      <c r="A1776" s="5">
        <v>1775</v>
      </c>
      <c r="B1776" s="6" t="s">
        <v>9</v>
      </c>
      <c r="C1776" s="7">
        <v>1882</v>
      </c>
      <c r="D1776" s="8">
        <v>45388</v>
      </c>
      <c r="E1776" s="9" t="str">
        <f>+HYPERLINK("http://trademark.i-assist.jp/data/china/image_1882th/76267310.pdf","76267310")</f>
        <v>76267310</v>
      </c>
      <c r="F1776" s="6" t="s">
        <v>4920</v>
      </c>
      <c r="G1776" s="6" t="s">
        <v>4921</v>
      </c>
      <c r="H1776" s="8" t="s">
        <v>4922</v>
      </c>
      <c r="I1776" s="14">
        <v>45300</v>
      </c>
    </row>
    <row r="1777" spans="1:9" x14ac:dyDescent="0.15">
      <c r="A1777" s="5">
        <v>1776</v>
      </c>
      <c r="B1777" s="6" t="s">
        <v>9</v>
      </c>
      <c r="C1777" s="7">
        <v>1882</v>
      </c>
      <c r="D1777" s="8">
        <v>45388</v>
      </c>
      <c r="E1777" s="9" t="str">
        <f>+HYPERLINK("http://trademark.i-assist.jp/data/china/image_1882th/76267507.pdf","76267507")</f>
        <v>76267507</v>
      </c>
      <c r="F1777" s="6" t="s">
        <v>26</v>
      </c>
      <c r="G1777" s="6" t="s">
        <v>4923</v>
      </c>
      <c r="H1777" s="8" t="s">
        <v>4924</v>
      </c>
      <c r="I1777" s="14">
        <v>45300</v>
      </c>
    </row>
    <row r="1778" spans="1:9" x14ac:dyDescent="0.15">
      <c r="A1778" s="5">
        <v>1777</v>
      </c>
      <c r="B1778" s="6" t="s">
        <v>9</v>
      </c>
      <c r="C1778" s="7">
        <v>1882</v>
      </c>
      <c r="D1778" s="8">
        <v>45388</v>
      </c>
      <c r="E1778" s="9" t="str">
        <f>+HYPERLINK("http://trademark.i-assist.jp/data/china/image_1882th/76267661.pdf","76267661")</f>
        <v>76267661</v>
      </c>
      <c r="F1778" s="6" t="s">
        <v>4925</v>
      </c>
      <c r="G1778" s="6" t="s">
        <v>4926</v>
      </c>
      <c r="H1778" s="8" t="s">
        <v>4927</v>
      </c>
      <c r="I1778" s="14">
        <v>45300</v>
      </c>
    </row>
    <row r="1779" spans="1:9" x14ac:dyDescent="0.15">
      <c r="A1779" s="5">
        <v>1778</v>
      </c>
      <c r="B1779" s="6" t="s">
        <v>9</v>
      </c>
      <c r="C1779" s="7">
        <v>1882</v>
      </c>
      <c r="D1779" s="8">
        <v>45388</v>
      </c>
      <c r="E1779" s="9" t="str">
        <f>+HYPERLINK("http://trademark.i-assist.jp/data/china/image_1882th/76267692.pdf","76267692")</f>
        <v>76267692</v>
      </c>
      <c r="F1779" s="6" t="s">
        <v>4928</v>
      </c>
      <c r="G1779" s="6" t="s">
        <v>4929</v>
      </c>
      <c r="H1779" s="8" t="s">
        <v>4930</v>
      </c>
      <c r="I1779" s="14">
        <v>45300</v>
      </c>
    </row>
    <row r="1780" spans="1:9" x14ac:dyDescent="0.15">
      <c r="A1780" s="5">
        <v>1779</v>
      </c>
      <c r="B1780" s="6" t="s">
        <v>9</v>
      </c>
      <c r="C1780" s="7">
        <v>1882</v>
      </c>
      <c r="D1780" s="8">
        <v>45388</v>
      </c>
      <c r="E1780" s="9" t="str">
        <f>+HYPERLINK("http://trademark.i-assist.jp/data/china/image_1882th/76267836.pdf","76267836")</f>
        <v>76267836</v>
      </c>
      <c r="F1780" s="6" t="s">
        <v>4931</v>
      </c>
      <c r="G1780" s="6" t="s">
        <v>4932</v>
      </c>
      <c r="H1780" s="8" t="s">
        <v>4933</v>
      </c>
      <c r="I1780" s="14">
        <v>45300</v>
      </c>
    </row>
    <row r="1781" spans="1:9" x14ac:dyDescent="0.15">
      <c r="A1781" s="5">
        <v>1780</v>
      </c>
      <c r="B1781" s="6" t="s">
        <v>9</v>
      </c>
      <c r="C1781" s="7">
        <v>1882</v>
      </c>
      <c r="D1781" s="8">
        <v>45388</v>
      </c>
      <c r="E1781" s="9" t="str">
        <f>+HYPERLINK("http://trademark.i-assist.jp/data/china/image_1882th/76268398.pdf","76268398")</f>
        <v>76268398</v>
      </c>
      <c r="F1781" s="6" t="s">
        <v>4934</v>
      </c>
      <c r="G1781" s="6" t="s">
        <v>4935</v>
      </c>
      <c r="H1781" s="8" t="s">
        <v>4936</v>
      </c>
      <c r="I1781" s="14">
        <v>45300</v>
      </c>
    </row>
    <row r="1782" spans="1:9" x14ac:dyDescent="0.15">
      <c r="A1782" s="5">
        <v>1781</v>
      </c>
      <c r="B1782" s="6" t="s">
        <v>9</v>
      </c>
      <c r="C1782" s="7">
        <v>1882</v>
      </c>
      <c r="D1782" s="8">
        <v>45388</v>
      </c>
      <c r="E1782" s="9" t="str">
        <f>+HYPERLINK("http://trademark.i-assist.jp/data/china/image_1882th/76268400.pdf","76268400")</f>
        <v>76268400</v>
      </c>
      <c r="F1782" s="6" t="s">
        <v>4937</v>
      </c>
      <c r="G1782" s="6" t="s">
        <v>4938</v>
      </c>
      <c r="H1782" s="8" t="s">
        <v>4939</v>
      </c>
      <c r="I1782" s="14">
        <v>45300</v>
      </c>
    </row>
    <row r="1783" spans="1:9" x14ac:dyDescent="0.15">
      <c r="A1783" s="5">
        <v>1782</v>
      </c>
      <c r="B1783" s="6" t="s">
        <v>9</v>
      </c>
      <c r="C1783" s="7">
        <v>1882</v>
      </c>
      <c r="D1783" s="8">
        <v>45388</v>
      </c>
      <c r="E1783" s="9" t="str">
        <f>+HYPERLINK("http://trademark.i-assist.jp/data/china/image_1882th/76268654.pdf","76268654")</f>
        <v>76268654</v>
      </c>
      <c r="F1783" s="6" t="s">
        <v>4940</v>
      </c>
      <c r="G1783" s="6" t="s">
        <v>3743</v>
      </c>
      <c r="H1783" s="8" t="s">
        <v>4941</v>
      </c>
      <c r="I1783" s="14">
        <v>45300</v>
      </c>
    </row>
    <row r="1784" spans="1:9" x14ac:dyDescent="0.15">
      <c r="A1784" s="5">
        <v>1783</v>
      </c>
      <c r="B1784" s="6" t="s">
        <v>9</v>
      </c>
      <c r="C1784" s="7">
        <v>1882</v>
      </c>
      <c r="D1784" s="8">
        <v>45388</v>
      </c>
      <c r="E1784" s="9" t="str">
        <f>+HYPERLINK("http://trademark.i-assist.jp/data/china/image_1882th/76268670.pdf","76268670")</f>
        <v>76268670</v>
      </c>
      <c r="F1784" s="6" t="s">
        <v>4942</v>
      </c>
      <c r="G1784" s="6" t="s">
        <v>4943</v>
      </c>
      <c r="H1784" s="8" t="s">
        <v>4944</v>
      </c>
      <c r="I1784" s="14">
        <v>45300</v>
      </c>
    </row>
    <row r="1785" spans="1:9" x14ac:dyDescent="0.15">
      <c r="A1785" s="5">
        <v>1784</v>
      </c>
      <c r="B1785" s="6" t="s">
        <v>9</v>
      </c>
      <c r="C1785" s="7">
        <v>1882</v>
      </c>
      <c r="D1785" s="8">
        <v>45388</v>
      </c>
      <c r="E1785" s="9" t="str">
        <f>+HYPERLINK("http://trademark.i-assist.jp/data/china/image_1882th/76268786.pdf","76268786")</f>
        <v>76268786</v>
      </c>
      <c r="F1785" s="6" t="s">
        <v>4945</v>
      </c>
      <c r="G1785" s="6" t="s">
        <v>4946</v>
      </c>
      <c r="H1785" s="8" t="s">
        <v>4947</v>
      </c>
      <c r="I1785" s="14">
        <v>45300</v>
      </c>
    </row>
    <row r="1786" spans="1:9" x14ac:dyDescent="0.15">
      <c r="A1786" s="5">
        <v>1785</v>
      </c>
      <c r="B1786" s="6" t="s">
        <v>9</v>
      </c>
      <c r="C1786" s="7">
        <v>1882</v>
      </c>
      <c r="D1786" s="8">
        <v>45388</v>
      </c>
      <c r="E1786" s="9" t="str">
        <f>+HYPERLINK("http://trademark.i-assist.jp/data/china/image_1882th/76268921.pdf","76268921")</f>
        <v>76268921</v>
      </c>
      <c r="F1786" s="6" t="s">
        <v>4948</v>
      </c>
      <c r="G1786" s="6" t="s">
        <v>4949</v>
      </c>
      <c r="H1786" s="8" t="s">
        <v>4950</v>
      </c>
      <c r="I1786" s="14">
        <v>45300</v>
      </c>
    </row>
    <row r="1787" spans="1:9" x14ac:dyDescent="0.15">
      <c r="A1787" s="5">
        <v>1786</v>
      </c>
      <c r="B1787" s="6" t="s">
        <v>9</v>
      </c>
      <c r="C1787" s="7">
        <v>1882</v>
      </c>
      <c r="D1787" s="8">
        <v>45388</v>
      </c>
      <c r="E1787" s="9" t="str">
        <f>+HYPERLINK("http://trademark.i-assist.jp/data/china/image_1882th/76268923.pdf","76268923")</f>
        <v>76268923</v>
      </c>
      <c r="F1787" s="6" t="s">
        <v>4951</v>
      </c>
      <c r="G1787" s="6" t="s">
        <v>4952</v>
      </c>
      <c r="H1787" s="8" t="s">
        <v>4953</v>
      </c>
      <c r="I1787" s="14">
        <v>45300</v>
      </c>
    </row>
    <row r="1788" spans="1:9" x14ac:dyDescent="0.15">
      <c r="A1788" s="5">
        <v>1787</v>
      </c>
      <c r="B1788" s="6" t="s">
        <v>9</v>
      </c>
      <c r="C1788" s="7">
        <v>1882</v>
      </c>
      <c r="D1788" s="8">
        <v>45388</v>
      </c>
      <c r="E1788" s="9" t="str">
        <f>+HYPERLINK("http://trademark.i-assist.jp/data/china/image_1882th/76269158.pdf","76269158")</f>
        <v>76269158</v>
      </c>
      <c r="F1788" s="6" t="s">
        <v>4954</v>
      </c>
      <c r="G1788" s="6" t="s">
        <v>4955</v>
      </c>
      <c r="H1788" s="8" t="s">
        <v>4956</v>
      </c>
      <c r="I1788" s="14">
        <v>45300</v>
      </c>
    </row>
    <row r="1789" spans="1:9" x14ac:dyDescent="0.15">
      <c r="A1789" s="5">
        <v>1788</v>
      </c>
      <c r="B1789" s="6" t="s">
        <v>9</v>
      </c>
      <c r="C1789" s="7">
        <v>1882</v>
      </c>
      <c r="D1789" s="8">
        <v>45388</v>
      </c>
      <c r="E1789" s="9" t="str">
        <f>+HYPERLINK("http://trademark.i-assist.jp/data/china/image_1882th/76269382.pdf","76269382")</f>
        <v>76269382</v>
      </c>
      <c r="F1789" s="6" t="s">
        <v>4957</v>
      </c>
      <c r="G1789" s="6" t="s">
        <v>4958</v>
      </c>
      <c r="H1789" s="8" t="s">
        <v>4959</v>
      </c>
      <c r="I1789" s="14">
        <v>45300</v>
      </c>
    </row>
    <row r="1790" spans="1:9" x14ac:dyDescent="0.15">
      <c r="A1790" s="5">
        <v>1789</v>
      </c>
      <c r="B1790" s="6" t="s">
        <v>9</v>
      </c>
      <c r="C1790" s="7">
        <v>1882</v>
      </c>
      <c r="D1790" s="8">
        <v>45388</v>
      </c>
      <c r="E1790" s="9" t="str">
        <f>+HYPERLINK("http://trademark.i-assist.jp/data/china/image_1882th/76269407.pdf","76269407")</f>
        <v>76269407</v>
      </c>
      <c r="F1790" s="6" t="s">
        <v>4960</v>
      </c>
      <c r="G1790" s="6" t="s">
        <v>4961</v>
      </c>
      <c r="H1790" s="8" t="s">
        <v>4962</v>
      </c>
      <c r="I1790" s="14">
        <v>45300</v>
      </c>
    </row>
    <row r="1791" spans="1:9" x14ac:dyDescent="0.15">
      <c r="A1791" s="5">
        <v>1790</v>
      </c>
      <c r="B1791" s="6" t="s">
        <v>9</v>
      </c>
      <c r="C1791" s="7">
        <v>1882</v>
      </c>
      <c r="D1791" s="8">
        <v>45388</v>
      </c>
      <c r="E1791" s="9" t="str">
        <f>+HYPERLINK("http://trademark.i-assist.jp/data/china/image_1882th/76269422.pdf","76269422")</f>
        <v>76269422</v>
      </c>
      <c r="F1791" s="6" t="s">
        <v>4963</v>
      </c>
      <c r="G1791" s="6" t="s">
        <v>4964</v>
      </c>
      <c r="H1791" s="8" t="s">
        <v>4965</v>
      </c>
      <c r="I1791" s="14">
        <v>45300</v>
      </c>
    </row>
    <row r="1792" spans="1:9" x14ac:dyDescent="0.15">
      <c r="A1792" s="5">
        <v>1791</v>
      </c>
      <c r="B1792" s="6" t="s">
        <v>9</v>
      </c>
      <c r="C1792" s="7">
        <v>1882</v>
      </c>
      <c r="D1792" s="8">
        <v>45388</v>
      </c>
      <c r="E1792" s="9" t="str">
        <f>+HYPERLINK("http://trademark.i-assist.jp/data/china/image_1882th/76269489.pdf","76269489")</f>
        <v>76269489</v>
      </c>
      <c r="F1792" s="6" t="s">
        <v>4966</v>
      </c>
      <c r="G1792" s="6" t="s">
        <v>3674</v>
      </c>
      <c r="H1792" s="8" t="s">
        <v>4967</v>
      </c>
      <c r="I1792" s="14">
        <v>45300</v>
      </c>
    </row>
    <row r="1793" spans="1:9" x14ac:dyDescent="0.15">
      <c r="A1793" s="5">
        <v>1792</v>
      </c>
      <c r="B1793" s="6" t="s">
        <v>9</v>
      </c>
      <c r="C1793" s="7">
        <v>1882</v>
      </c>
      <c r="D1793" s="8">
        <v>45388</v>
      </c>
      <c r="E1793" s="9" t="str">
        <f>+HYPERLINK("http://trademark.i-assist.jp/data/china/image_1882th/76269544.pdf","76269544")</f>
        <v>76269544</v>
      </c>
      <c r="F1793" s="6" t="s">
        <v>4968</v>
      </c>
      <c r="G1793" s="6" t="s">
        <v>4969</v>
      </c>
      <c r="H1793" s="8" t="s">
        <v>4970</v>
      </c>
      <c r="I1793" s="14">
        <v>45300</v>
      </c>
    </row>
    <row r="1794" spans="1:9" x14ac:dyDescent="0.15">
      <c r="A1794" s="5">
        <v>1793</v>
      </c>
      <c r="B1794" s="6" t="s">
        <v>9</v>
      </c>
      <c r="C1794" s="7">
        <v>1882</v>
      </c>
      <c r="D1794" s="8">
        <v>45388</v>
      </c>
      <c r="E1794" s="9" t="str">
        <f>+HYPERLINK("http://trademark.i-assist.jp/data/china/image_1882th/76269569.pdf","76269569")</f>
        <v>76269569</v>
      </c>
      <c r="F1794" s="6" t="s">
        <v>4971</v>
      </c>
      <c r="G1794" s="6" t="s">
        <v>4972</v>
      </c>
      <c r="H1794" s="8" t="s">
        <v>4973</v>
      </c>
      <c r="I1794" s="14">
        <v>45300</v>
      </c>
    </row>
    <row r="1795" spans="1:9" x14ac:dyDescent="0.15">
      <c r="A1795" s="5">
        <v>1794</v>
      </c>
      <c r="B1795" s="6" t="s">
        <v>9</v>
      </c>
      <c r="C1795" s="7">
        <v>1882</v>
      </c>
      <c r="D1795" s="8">
        <v>45388</v>
      </c>
      <c r="E1795" s="9" t="str">
        <f>+HYPERLINK("http://trademark.i-assist.jp/data/china/image_1882th/76269635.pdf","76269635")</f>
        <v>76269635</v>
      </c>
      <c r="F1795" s="6" t="s">
        <v>26</v>
      </c>
      <c r="G1795" s="6" t="s">
        <v>4974</v>
      </c>
      <c r="H1795" s="8" t="s">
        <v>4975</v>
      </c>
      <c r="I1795" s="14">
        <v>45300</v>
      </c>
    </row>
    <row r="1796" spans="1:9" x14ac:dyDescent="0.15">
      <c r="A1796" s="5">
        <v>1795</v>
      </c>
      <c r="B1796" s="6" t="s">
        <v>9</v>
      </c>
      <c r="C1796" s="7">
        <v>1882</v>
      </c>
      <c r="D1796" s="8">
        <v>45388</v>
      </c>
      <c r="E1796" s="9" t="str">
        <f>+HYPERLINK("http://trademark.i-assist.jp/data/china/image_1882th/76269803.pdf","76269803")</f>
        <v>76269803</v>
      </c>
      <c r="F1796" s="6" t="s">
        <v>4976</v>
      </c>
      <c r="G1796" s="6" t="s">
        <v>3274</v>
      </c>
      <c r="H1796" s="8" t="s">
        <v>4977</v>
      </c>
      <c r="I1796" s="14">
        <v>45300</v>
      </c>
    </row>
    <row r="1797" spans="1:9" x14ac:dyDescent="0.15">
      <c r="A1797" s="5">
        <v>1796</v>
      </c>
      <c r="B1797" s="6" t="s">
        <v>9</v>
      </c>
      <c r="C1797" s="7">
        <v>1882</v>
      </c>
      <c r="D1797" s="8">
        <v>45388</v>
      </c>
      <c r="E1797" s="9" t="str">
        <f>+HYPERLINK("http://trademark.i-assist.jp/data/china/image_1882th/76269812.pdf","76269812")</f>
        <v>76269812</v>
      </c>
      <c r="F1797" s="6" t="s">
        <v>4978</v>
      </c>
      <c r="G1797" s="6" t="s">
        <v>3274</v>
      </c>
      <c r="H1797" s="8" t="s">
        <v>4979</v>
      </c>
      <c r="I1797" s="14">
        <v>45300</v>
      </c>
    </row>
    <row r="1798" spans="1:9" x14ac:dyDescent="0.15">
      <c r="A1798" s="5">
        <v>1797</v>
      </c>
      <c r="B1798" s="6" t="s">
        <v>9</v>
      </c>
      <c r="C1798" s="7">
        <v>1882</v>
      </c>
      <c r="D1798" s="8">
        <v>45388</v>
      </c>
      <c r="E1798" s="9" t="str">
        <f>+HYPERLINK("http://trademark.i-assist.jp/data/china/image_1882th/76269827.pdf","76269827")</f>
        <v>76269827</v>
      </c>
      <c r="F1798" s="6" t="s">
        <v>4980</v>
      </c>
      <c r="G1798" s="6" t="s">
        <v>4981</v>
      </c>
      <c r="H1798" s="8" t="s">
        <v>4982</v>
      </c>
      <c r="I1798" s="14">
        <v>45300</v>
      </c>
    </row>
    <row r="1799" spans="1:9" x14ac:dyDescent="0.15">
      <c r="A1799" s="5">
        <v>1798</v>
      </c>
      <c r="B1799" s="6" t="s">
        <v>9</v>
      </c>
      <c r="C1799" s="7">
        <v>1882</v>
      </c>
      <c r="D1799" s="8">
        <v>45388</v>
      </c>
      <c r="E1799" s="9" t="str">
        <f>+HYPERLINK("http://trademark.i-assist.jp/data/china/image_1882th/76269972.pdf","76269972")</f>
        <v>76269972</v>
      </c>
      <c r="F1799" s="6" t="s">
        <v>4983</v>
      </c>
      <c r="G1799" s="6" t="s">
        <v>4984</v>
      </c>
      <c r="H1799" s="8" t="s">
        <v>4985</v>
      </c>
      <c r="I1799" s="14">
        <v>45300</v>
      </c>
    </row>
    <row r="1800" spans="1:9" x14ac:dyDescent="0.15">
      <c r="A1800" s="5">
        <v>1799</v>
      </c>
      <c r="B1800" s="6" t="s">
        <v>9</v>
      </c>
      <c r="C1800" s="7">
        <v>1882</v>
      </c>
      <c r="D1800" s="8">
        <v>45388</v>
      </c>
      <c r="E1800" s="9" t="str">
        <f>+HYPERLINK("http://trademark.i-assist.jp/data/china/image_1882th/76270165.pdf","76270165")</f>
        <v>76270165</v>
      </c>
      <c r="F1800" s="6" t="s">
        <v>4986</v>
      </c>
      <c r="G1800" s="6" t="s">
        <v>4987</v>
      </c>
      <c r="H1800" s="8" t="s">
        <v>4988</v>
      </c>
      <c r="I1800" s="14">
        <v>45300</v>
      </c>
    </row>
    <row r="1801" spans="1:9" x14ac:dyDescent="0.15">
      <c r="A1801" s="5">
        <v>1800</v>
      </c>
      <c r="B1801" s="6" t="s">
        <v>9</v>
      </c>
      <c r="C1801" s="7">
        <v>1882</v>
      </c>
      <c r="D1801" s="8">
        <v>45388</v>
      </c>
      <c r="E1801" s="9" t="str">
        <f>+HYPERLINK("http://trademark.i-assist.jp/data/china/image_1882th/76270206.pdf","76270206")</f>
        <v>76270206</v>
      </c>
      <c r="F1801" s="6" t="s">
        <v>4989</v>
      </c>
      <c r="G1801" s="6" t="s">
        <v>4990</v>
      </c>
      <c r="H1801" s="8" t="s">
        <v>4991</v>
      </c>
      <c r="I1801" s="14">
        <v>45300</v>
      </c>
    </row>
    <row r="1802" spans="1:9" x14ac:dyDescent="0.15">
      <c r="A1802" s="5">
        <v>1801</v>
      </c>
      <c r="B1802" s="6" t="s">
        <v>9</v>
      </c>
      <c r="C1802" s="7">
        <v>1882</v>
      </c>
      <c r="D1802" s="8">
        <v>45388</v>
      </c>
      <c r="E1802" s="9" t="str">
        <f>+HYPERLINK("http://trademark.i-assist.jp/data/china/image_1882th/76270378.pdf","76270378")</f>
        <v>76270378</v>
      </c>
      <c r="F1802" s="6" t="s">
        <v>4992</v>
      </c>
      <c r="G1802" s="6" t="s">
        <v>4993</v>
      </c>
      <c r="H1802" s="8" t="s">
        <v>4994</v>
      </c>
      <c r="I1802" s="14">
        <v>45300</v>
      </c>
    </row>
    <row r="1803" spans="1:9" x14ac:dyDescent="0.15">
      <c r="A1803" s="5">
        <v>1802</v>
      </c>
      <c r="B1803" s="6" t="s">
        <v>9</v>
      </c>
      <c r="C1803" s="7">
        <v>1882</v>
      </c>
      <c r="D1803" s="8">
        <v>45388</v>
      </c>
      <c r="E1803" s="9" t="str">
        <f>+HYPERLINK("http://trademark.i-assist.jp/data/china/image_1882th/76270476.pdf","76270476")</f>
        <v>76270476</v>
      </c>
      <c r="F1803" s="6" t="s">
        <v>4995</v>
      </c>
      <c r="G1803" s="6" t="s">
        <v>4996</v>
      </c>
      <c r="H1803" s="8" t="s">
        <v>4997</v>
      </c>
      <c r="I1803" s="14">
        <v>45300</v>
      </c>
    </row>
    <row r="1804" spans="1:9" x14ac:dyDescent="0.15">
      <c r="A1804" s="5">
        <v>1803</v>
      </c>
      <c r="B1804" s="6" t="s">
        <v>9</v>
      </c>
      <c r="C1804" s="7">
        <v>1882</v>
      </c>
      <c r="D1804" s="8">
        <v>45388</v>
      </c>
      <c r="E1804" s="9" t="str">
        <f>+HYPERLINK("http://trademark.i-assist.jp/data/china/image_1882th/76270666.pdf","76270666")</f>
        <v>76270666</v>
      </c>
      <c r="F1804" s="6" t="s">
        <v>4998</v>
      </c>
      <c r="G1804" s="6" t="s">
        <v>4999</v>
      </c>
      <c r="H1804" s="8" t="s">
        <v>5000</v>
      </c>
      <c r="I1804" s="14">
        <v>45300</v>
      </c>
    </row>
    <row r="1805" spans="1:9" x14ac:dyDescent="0.15">
      <c r="A1805" s="5">
        <v>1804</v>
      </c>
      <c r="B1805" s="6" t="s">
        <v>9</v>
      </c>
      <c r="C1805" s="7">
        <v>1882</v>
      </c>
      <c r="D1805" s="8">
        <v>45388</v>
      </c>
      <c r="E1805" s="9" t="str">
        <f>+HYPERLINK("http://trademark.i-assist.jp/data/china/image_1882th/76270693.pdf","76270693")</f>
        <v>76270693</v>
      </c>
      <c r="F1805" s="6" t="s">
        <v>5001</v>
      </c>
      <c r="G1805" s="6" t="s">
        <v>5002</v>
      </c>
      <c r="H1805" s="8" t="s">
        <v>5003</v>
      </c>
      <c r="I1805" s="14">
        <v>45300</v>
      </c>
    </row>
    <row r="1806" spans="1:9" x14ac:dyDescent="0.15">
      <c r="A1806" s="5">
        <v>1805</v>
      </c>
      <c r="B1806" s="6" t="s">
        <v>9</v>
      </c>
      <c r="C1806" s="7">
        <v>1882</v>
      </c>
      <c r="D1806" s="8">
        <v>45388</v>
      </c>
      <c r="E1806" s="9" t="str">
        <f>+HYPERLINK("http://trademark.i-assist.jp/data/china/image_1882th/76270950.pdf","76270950")</f>
        <v>76270950</v>
      </c>
      <c r="F1806" s="6" t="s">
        <v>5004</v>
      </c>
      <c r="G1806" s="6" t="s">
        <v>2406</v>
      </c>
      <c r="H1806" s="8" t="s">
        <v>5005</v>
      </c>
      <c r="I1806" s="14">
        <v>45300</v>
      </c>
    </row>
    <row r="1807" spans="1:9" x14ac:dyDescent="0.15">
      <c r="A1807" s="5">
        <v>1806</v>
      </c>
      <c r="B1807" s="6" t="s">
        <v>9</v>
      </c>
      <c r="C1807" s="7">
        <v>1882</v>
      </c>
      <c r="D1807" s="8">
        <v>45388</v>
      </c>
      <c r="E1807" s="9" t="str">
        <f>+HYPERLINK("http://trademark.i-assist.jp/data/china/image_1882th/76271119.pdf","76271119")</f>
        <v>76271119</v>
      </c>
      <c r="F1807" s="6" t="s">
        <v>5006</v>
      </c>
      <c r="G1807" s="6" t="s">
        <v>4946</v>
      </c>
      <c r="H1807" s="8" t="s">
        <v>5007</v>
      </c>
      <c r="I1807" s="14">
        <v>45300</v>
      </c>
    </row>
    <row r="1808" spans="1:9" x14ac:dyDescent="0.15">
      <c r="A1808" s="5">
        <v>1807</v>
      </c>
      <c r="B1808" s="6" t="s">
        <v>9</v>
      </c>
      <c r="C1808" s="7">
        <v>1882</v>
      </c>
      <c r="D1808" s="8">
        <v>45388</v>
      </c>
      <c r="E1808" s="9" t="str">
        <f>+HYPERLINK("http://trademark.i-assist.jp/data/china/image_1882th/76271220.pdf","76271220")</f>
        <v>76271220</v>
      </c>
      <c r="F1808" s="6" t="s">
        <v>5008</v>
      </c>
      <c r="G1808" s="6" t="s">
        <v>5009</v>
      </c>
      <c r="H1808" s="8" t="s">
        <v>5010</v>
      </c>
      <c r="I1808" s="14">
        <v>45300</v>
      </c>
    </row>
    <row r="1809" spans="1:9" x14ac:dyDescent="0.15">
      <c r="A1809" s="5">
        <v>1808</v>
      </c>
      <c r="B1809" s="6" t="s">
        <v>9</v>
      </c>
      <c r="C1809" s="7">
        <v>1882</v>
      </c>
      <c r="D1809" s="8">
        <v>45388</v>
      </c>
      <c r="E1809" s="9" t="str">
        <f>+HYPERLINK("http://trademark.i-assist.jp/data/china/image_1882th/76271247.pdf","76271247")</f>
        <v>76271247</v>
      </c>
      <c r="F1809" s="6" t="s">
        <v>5011</v>
      </c>
      <c r="G1809" s="6" t="s">
        <v>5012</v>
      </c>
      <c r="H1809" s="8" t="s">
        <v>5013</v>
      </c>
      <c r="I1809" s="14">
        <v>45300</v>
      </c>
    </row>
    <row r="1810" spans="1:9" x14ac:dyDescent="0.15">
      <c r="A1810" s="5">
        <v>1809</v>
      </c>
      <c r="B1810" s="6" t="s">
        <v>9</v>
      </c>
      <c r="C1810" s="7">
        <v>1882</v>
      </c>
      <c r="D1810" s="8">
        <v>45388</v>
      </c>
      <c r="E1810" s="9" t="str">
        <f>+HYPERLINK("http://trademark.i-assist.jp/data/china/image_1882th/76271436.pdf","76271436")</f>
        <v>76271436</v>
      </c>
      <c r="F1810" s="6" t="s">
        <v>5014</v>
      </c>
      <c r="G1810" s="6" t="s">
        <v>5015</v>
      </c>
      <c r="H1810" s="8" t="s">
        <v>5016</v>
      </c>
      <c r="I1810" s="14">
        <v>45300</v>
      </c>
    </row>
    <row r="1811" spans="1:9" x14ac:dyDescent="0.15">
      <c r="A1811" s="5">
        <v>1810</v>
      </c>
      <c r="B1811" s="6" t="s">
        <v>9</v>
      </c>
      <c r="C1811" s="7">
        <v>1882</v>
      </c>
      <c r="D1811" s="8">
        <v>45388</v>
      </c>
      <c r="E1811" s="9" t="str">
        <f>+HYPERLINK("http://trademark.i-assist.jp/data/china/image_1882th/76272045.pdf","76272045")</f>
        <v>76272045</v>
      </c>
      <c r="F1811" s="6" t="s">
        <v>5017</v>
      </c>
      <c r="G1811" s="6" t="s">
        <v>5018</v>
      </c>
      <c r="H1811" s="8" t="s">
        <v>5019</v>
      </c>
      <c r="I1811" s="14">
        <v>45300</v>
      </c>
    </row>
    <row r="1812" spans="1:9" x14ac:dyDescent="0.15">
      <c r="A1812" s="5">
        <v>1811</v>
      </c>
      <c r="B1812" s="6" t="s">
        <v>9</v>
      </c>
      <c r="C1812" s="7">
        <v>1882</v>
      </c>
      <c r="D1812" s="8">
        <v>45388</v>
      </c>
      <c r="E1812" s="9" t="str">
        <f>+HYPERLINK("http://trademark.i-assist.jp/data/china/image_1882th/76272163.pdf","76272163")</f>
        <v>76272163</v>
      </c>
      <c r="F1812" s="6" t="s">
        <v>5020</v>
      </c>
      <c r="G1812" s="6" t="s">
        <v>4955</v>
      </c>
      <c r="H1812" s="8" t="s">
        <v>5021</v>
      </c>
      <c r="I1812" s="14">
        <v>45300</v>
      </c>
    </row>
    <row r="1813" spans="1:9" x14ac:dyDescent="0.15">
      <c r="A1813" s="5">
        <v>1812</v>
      </c>
      <c r="B1813" s="6" t="s">
        <v>9</v>
      </c>
      <c r="C1813" s="7">
        <v>1882</v>
      </c>
      <c r="D1813" s="8">
        <v>45388</v>
      </c>
      <c r="E1813" s="9" t="str">
        <f>+HYPERLINK("http://trademark.i-assist.jp/data/china/image_1882th/76272279.pdf","76272279")</f>
        <v>76272279</v>
      </c>
      <c r="F1813" s="6" t="s">
        <v>5022</v>
      </c>
      <c r="G1813" s="6" t="s">
        <v>4915</v>
      </c>
      <c r="H1813" s="8" t="s">
        <v>5023</v>
      </c>
      <c r="I1813" s="14">
        <v>45300</v>
      </c>
    </row>
    <row r="1814" spans="1:9" x14ac:dyDescent="0.15">
      <c r="A1814" s="5">
        <v>1813</v>
      </c>
      <c r="B1814" s="6" t="s">
        <v>9</v>
      </c>
      <c r="C1814" s="7">
        <v>1882</v>
      </c>
      <c r="D1814" s="8">
        <v>45388</v>
      </c>
      <c r="E1814" s="9" t="str">
        <f>+HYPERLINK("http://trademark.i-assist.jp/data/china/image_1882th/76272556.pdf","76272556")</f>
        <v>76272556</v>
      </c>
      <c r="F1814" s="6" t="s">
        <v>5024</v>
      </c>
      <c r="G1814" s="6" t="s">
        <v>5025</v>
      </c>
      <c r="H1814" s="8" t="s">
        <v>5026</v>
      </c>
      <c r="I1814" s="14">
        <v>45300</v>
      </c>
    </row>
    <row r="1815" spans="1:9" x14ac:dyDescent="0.15">
      <c r="A1815" s="5">
        <v>1814</v>
      </c>
      <c r="B1815" s="6" t="s">
        <v>9</v>
      </c>
      <c r="C1815" s="7">
        <v>1882</v>
      </c>
      <c r="D1815" s="8">
        <v>45388</v>
      </c>
      <c r="E1815" s="9" t="str">
        <f>+HYPERLINK("http://trademark.i-assist.jp/data/china/image_1882th/76272721.pdf","76272721")</f>
        <v>76272721</v>
      </c>
      <c r="F1815" s="6" t="s">
        <v>5027</v>
      </c>
      <c r="G1815" s="6" t="s">
        <v>5028</v>
      </c>
      <c r="H1815" s="8" t="s">
        <v>5029</v>
      </c>
      <c r="I1815" s="14">
        <v>45300</v>
      </c>
    </row>
    <row r="1816" spans="1:9" x14ac:dyDescent="0.15">
      <c r="A1816" s="5">
        <v>1815</v>
      </c>
      <c r="B1816" s="6" t="s">
        <v>9</v>
      </c>
      <c r="C1816" s="7">
        <v>1882</v>
      </c>
      <c r="D1816" s="8">
        <v>45388</v>
      </c>
      <c r="E1816" s="9" t="str">
        <f>+HYPERLINK("http://trademark.i-assist.jp/data/china/image_1882th/76272730.pdf","76272730")</f>
        <v>76272730</v>
      </c>
      <c r="F1816" s="6" t="s">
        <v>26</v>
      </c>
      <c r="G1816" s="6" t="s">
        <v>5030</v>
      </c>
      <c r="H1816" s="8" t="s">
        <v>5031</v>
      </c>
      <c r="I1816" s="14">
        <v>45300</v>
      </c>
    </row>
    <row r="1817" spans="1:9" x14ac:dyDescent="0.15">
      <c r="A1817" s="5">
        <v>1816</v>
      </c>
      <c r="B1817" s="6" t="s">
        <v>9</v>
      </c>
      <c r="C1817" s="7">
        <v>1882</v>
      </c>
      <c r="D1817" s="8">
        <v>45388</v>
      </c>
      <c r="E1817" s="9" t="str">
        <f>+HYPERLINK("http://trademark.i-assist.jp/data/china/image_1882th/76272748.pdf","76272748")</f>
        <v>76272748</v>
      </c>
      <c r="F1817" s="6" t="s">
        <v>5032</v>
      </c>
      <c r="G1817" s="6" t="s">
        <v>5033</v>
      </c>
      <c r="H1817" s="8" t="s">
        <v>5034</v>
      </c>
      <c r="I1817" s="14">
        <v>45300</v>
      </c>
    </row>
    <row r="1818" spans="1:9" x14ac:dyDescent="0.15">
      <c r="A1818" s="5">
        <v>1817</v>
      </c>
      <c r="B1818" s="6" t="s">
        <v>9</v>
      </c>
      <c r="C1818" s="7">
        <v>1882</v>
      </c>
      <c r="D1818" s="8">
        <v>45388</v>
      </c>
      <c r="E1818" s="9" t="str">
        <f>+HYPERLINK("http://trademark.i-assist.jp/data/china/image_1882th/76272819.pdf","76272819")</f>
        <v>76272819</v>
      </c>
      <c r="F1818" s="6" t="s">
        <v>5035</v>
      </c>
      <c r="G1818" s="6" t="s">
        <v>5036</v>
      </c>
      <c r="H1818" s="8" t="s">
        <v>5037</v>
      </c>
      <c r="I1818" s="14">
        <v>45300</v>
      </c>
    </row>
    <row r="1819" spans="1:9" x14ac:dyDescent="0.15">
      <c r="A1819" s="5">
        <v>1818</v>
      </c>
      <c r="B1819" s="6" t="s">
        <v>9</v>
      </c>
      <c r="C1819" s="7">
        <v>1882</v>
      </c>
      <c r="D1819" s="8">
        <v>45388</v>
      </c>
      <c r="E1819" s="9" t="str">
        <f>+HYPERLINK("http://trademark.i-assist.jp/data/china/image_1882th/76272944.pdf","76272944")</f>
        <v>76272944</v>
      </c>
      <c r="F1819" s="6" t="s">
        <v>5038</v>
      </c>
      <c r="G1819" s="6" t="s">
        <v>5039</v>
      </c>
      <c r="H1819" s="8" t="s">
        <v>5040</v>
      </c>
      <c r="I1819" s="14">
        <v>45300</v>
      </c>
    </row>
    <row r="1820" spans="1:9" x14ac:dyDescent="0.15">
      <c r="A1820" s="5">
        <v>1819</v>
      </c>
      <c r="B1820" s="6" t="s">
        <v>9</v>
      </c>
      <c r="C1820" s="7">
        <v>1882</v>
      </c>
      <c r="D1820" s="8">
        <v>45388</v>
      </c>
      <c r="E1820" s="9" t="str">
        <f>+HYPERLINK("http://trademark.i-assist.jp/data/china/image_1882th/76272946.pdf","76272946")</f>
        <v>76272946</v>
      </c>
      <c r="F1820" s="6" t="s">
        <v>5041</v>
      </c>
      <c r="G1820" s="6" t="s">
        <v>5042</v>
      </c>
      <c r="H1820" s="8" t="s">
        <v>5043</v>
      </c>
      <c r="I1820" s="14">
        <v>45300</v>
      </c>
    </row>
    <row r="1821" spans="1:9" x14ac:dyDescent="0.15">
      <c r="A1821" s="5">
        <v>1820</v>
      </c>
      <c r="B1821" s="6" t="s">
        <v>9</v>
      </c>
      <c r="C1821" s="7">
        <v>1882</v>
      </c>
      <c r="D1821" s="8">
        <v>45388</v>
      </c>
      <c r="E1821" s="9" t="str">
        <f>+HYPERLINK("http://trademark.i-assist.jp/data/china/image_1882th/76272953.pdf","76272953")</f>
        <v>76272953</v>
      </c>
      <c r="F1821" s="6" t="s">
        <v>5044</v>
      </c>
      <c r="G1821" s="6" t="s">
        <v>5039</v>
      </c>
      <c r="H1821" s="8" t="s">
        <v>5045</v>
      </c>
      <c r="I1821" s="14">
        <v>45300</v>
      </c>
    </row>
    <row r="1822" spans="1:9" x14ac:dyDescent="0.15">
      <c r="A1822" s="5">
        <v>1821</v>
      </c>
      <c r="B1822" s="6" t="s">
        <v>9</v>
      </c>
      <c r="C1822" s="7">
        <v>1882</v>
      </c>
      <c r="D1822" s="8">
        <v>45388</v>
      </c>
      <c r="E1822" s="9" t="str">
        <f>+HYPERLINK("http://trademark.i-assist.jp/data/china/image_1882th/76273204.pdf","76273204")</f>
        <v>76273204</v>
      </c>
      <c r="F1822" s="6" t="s">
        <v>26</v>
      </c>
      <c r="G1822" s="6" t="s">
        <v>5046</v>
      </c>
      <c r="H1822" s="8" t="s">
        <v>5047</v>
      </c>
      <c r="I1822" s="14">
        <v>45300</v>
      </c>
    </row>
    <row r="1823" spans="1:9" x14ac:dyDescent="0.15">
      <c r="A1823" s="5">
        <v>1822</v>
      </c>
      <c r="B1823" s="6" t="s">
        <v>9</v>
      </c>
      <c r="C1823" s="7">
        <v>1882</v>
      </c>
      <c r="D1823" s="8">
        <v>45388</v>
      </c>
      <c r="E1823" s="9" t="str">
        <f>+HYPERLINK("http://trademark.i-assist.jp/data/china/image_1882th/76273268.pdf","76273268")</f>
        <v>76273268</v>
      </c>
      <c r="F1823" s="6" t="s">
        <v>5048</v>
      </c>
      <c r="G1823" s="6" t="s">
        <v>5049</v>
      </c>
      <c r="H1823" s="8" t="s">
        <v>5050</v>
      </c>
      <c r="I1823" s="14">
        <v>45300</v>
      </c>
    </row>
    <row r="1824" spans="1:9" x14ac:dyDescent="0.15">
      <c r="A1824" s="5">
        <v>1823</v>
      </c>
      <c r="B1824" s="6" t="s">
        <v>9</v>
      </c>
      <c r="C1824" s="7">
        <v>1882</v>
      </c>
      <c r="D1824" s="8">
        <v>45388</v>
      </c>
      <c r="E1824" s="9" t="str">
        <f>+HYPERLINK("http://trademark.i-assist.jp/data/china/image_1882th/76273351.pdf","76273351")</f>
        <v>76273351</v>
      </c>
      <c r="F1824" s="6" t="s">
        <v>5051</v>
      </c>
      <c r="G1824" s="6" t="s">
        <v>5052</v>
      </c>
      <c r="H1824" s="8" t="s">
        <v>5053</v>
      </c>
      <c r="I1824" s="14">
        <v>45300</v>
      </c>
    </row>
    <row r="1825" spans="1:9" x14ac:dyDescent="0.15">
      <c r="A1825" s="5">
        <v>1824</v>
      </c>
      <c r="B1825" s="6" t="s">
        <v>9</v>
      </c>
      <c r="C1825" s="7">
        <v>1882</v>
      </c>
      <c r="D1825" s="8">
        <v>45388</v>
      </c>
      <c r="E1825" s="9" t="str">
        <f>+HYPERLINK("http://trademark.i-assist.jp/data/china/image_1882th/76273499.pdf","76273499")</f>
        <v>76273499</v>
      </c>
      <c r="F1825" s="6" t="s">
        <v>5054</v>
      </c>
      <c r="G1825" s="6" t="s">
        <v>5055</v>
      </c>
      <c r="H1825" s="8" t="s">
        <v>5056</v>
      </c>
      <c r="I1825" s="14">
        <v>45300</v>
      </c>
    </row>
    <row r="1826" spans="1:9" x14ac:dyDescent="0.15">
      <c r="A1826" s="5">
        <v>1825</v>
      </c>
      <c r="B1826" s="6" t="s">
        <v>9</v>
      </c>
      <c r="C1826" s="7">
        <v>1882</v>
      </c>
      <c r="D1826" s="8">
        <v>45388</v>
      </c>
      <c r="E1826" s="9" t="str">
        <f>+HYPERLINK("http://trademark.i-assist.jp/data/china/image_1882th/76273720.pdf","76273720")</f>
        <v>76273720</v>
      </c>
      <c r="F1826" s="6" t="s">
        <v>5057</v>
      </c>
      <c r="G1826" s="6" t="s">
        <v>5058</v>
      </c>
      <c r="H1826" s="8" t="s">
        <v>5059</v>
      </c>
      <c r="I1826" s="14">
        <v>45300</v>
      </c>
    </row>
    <row r="1827" spans="1:9" x14ac:dyDescent="0.15">
      <c r="A1827" s="5">
        <v>1826</v>
      </c>
      <c r="B1827" s="6" t="s">
        <v>9</v>
      </c>
      <c r="C1827" s="7">
        <v>1882</v>
      </c>
      <c r="D1827" s="8">
        <v>45388</v>
      </c>
      <c r="E1827" s="9" t="str">
        <f>+HYPERLINK("http://trademark.i-assist.jp/data/china/image_1882th/76273727.pdf","76273727")</f>
        <v>76273727</v>
      </c>
      <c r="F1827" s="6" t="s">
        <v>5060</v>
      </c>
      <c r="G1827" s="6" t="s">
        <v>5061</v>
      </c>
      <c r="H1827" s="8" t="s">
        <v>5062</v>
      </c>
      <c r="I1827" s="14">
        <v>45300</v>
      </c>
    </row>
    <row r="1828" spans="1:9" x14ac:dyDescent="0.15">
      <c r="A1828" s="5">
        <v>1827</v>
      </c>
      <c r="B1828" s="6" t="s">
        <v>9</v>
      </c>
      <c r="C1828" s="7">
        <v>1882</v>
      </c>
      <c r="D1828" s="8">
        <v>45388</v>
      </c>
      <c r="E1828" s="9" t="str">
        <f>+HYPERLINK("http://trademark.i-assist.jp/data/china/image_1882th/76273729.pdf","76273729")</f>
        <v>76273729</v>
      </c>
      <c r="F1828" s="6" t="s">
        <v>5063</v>
      </c>
      <c r="G1828" s="6" t="s">
        <v>5064</v>
      </c>
      <c r="H1828" s="8" t="s">
        <v>5065</v>
      </c>
      <c r="I1828" s="14">
        <v>45300</v>
      </c>
    </row>
    <row r="1829" spans="1:9" x14ac:dyDescent="0.15">
      <c r="A1829" s="5">
        <v>1828</v>
      </c>
      <c r="B1829" s="6" t="s">
        <v>9</v>
      </c>
      <c r="C1829" s="7">
        <v>1882</v>
      </c>
      <c r="D1829" s="8">
        <v>45388</v>
      </c>
      <c r="E1829" s="9" t="str">
        <f>+HYPERLINK("http://trademark.i-assist.jp/data/china/image_1882th/76273864.pdf","76273864")</f>
        <v>76273864</v>
      </c>
      <c r="F1829" s="6" t="s">
        <v>5066</v>
      </c>
      <c r="G1829" s="6" t="s">
        <v>5067</v>
      </c>
      <c r="H1829" s="8" t="s">
        <v>5068</v>
      </c>
      <c r="I1829" s="14">
        <v>45300</v>
      </c>
    </row>
    <row r="1830" spans="1:9" x14ac:dyDescent="0.15">
      <c r="A1830" s="5">
        <v>1829</v>
      </c>
      <c r="B1830" s="6" t="s">
        <v>9</v>
      </c>
      <c r="C1830" s="7">
        <v>1882</v>
      </c>
      <c r="D1830" s="8">
        <v>45388</v>
      </c>
      <c r="E1830" s="9" t="str">
        <f>+HYPERLINK("http://trademark.i-assist.jp/data/china/image_1882th/76274043.pdf","76274043")</f>
        <v>76274043</v>
      </c>
      <c r="F1830" s="6" t="s">
        <v>5069</v>
      </c>
      <c r="G1830" s="6" t="s">
        <v>5070</v>
      </c>
      <c r="H1830" s="8" t="s">
        <v>5071</v>
      </c>
      <c r="I1830" s="14">
        <v>45300</v>
      </c>
    </row>
    <row r="1831" spans="1:9" x14ac:dyDescent="0.15">
      <c r="A1831" s="5">
        <v>1830</v>
      </c>
      <c r="B1831" s="6" t="s">
        <v>9</v>
      </c>
      <c r="C1831" s="7">
        <v>1882</v>
      </c>
      <c r="D1831" s="8">
        <v>45388</v>
      </c>
      <c r="E1831" s="9" t="str">
        <f>+HYPERLINK("http://trademark.i-assist.jp/data/china/image_1882th/76274124.pdf","76274124")</f>
        <v>76274124</v>
      </c>
      <c r="F1831" s="6" t="s">
        <v>5072</v>
      </c>
      <c r="G1831" s="6" t="s">
        <v>5073</v>
      </c>
      <c r="H1831" s="8" t="s">
        <v>5074</v>
      </c>
      <c r="I1831" s="14">
        <v>45300</v>
      </c>
    </row>
    <row r="1832" spans="1:9" x14ac:dyDescent="0.15">
      <c r="A1832" s="5">
        <v>1831</v>
      </c>
      <c r="B1832" s="6" t="s">
        <v>9</v>
      </c>
      <c r="C1832" s="7">
        <v>1882</v>
      </c>
      <c r="D1832" s="8">
        <v>45388</v>
      </c>
      <c r="E1832" s="9" t="str">
        <f>+HYPERLINK("http://trademark.i-assist.jp/data/china/image_1882th/76274178.pdf","76274178")</f>
        <v>76274178</v>
      </c>
      <c r="F1832" s="6" t="s">
        <v>5075</v>
      </c>
      <c r="G1832" s="6" t="s">
        <v>5076</v>
      </c>
      <c r="H1832" s="8" t="s">
        <v>5077</v>
      </c>
      <c r="I1832" s="14">
        <v>45300</v>
      </c>
    </row>
    <row r="1833" spans="1:9" x14ac:dyDescent="0.15">
      <c r="A1833" s="5">
        <v>1832</v>
      </c>
      <c r="B1833" s="6" t="s">
        <v>9</v>
      </c>
      <c r="C1833" s="7">
        <v>1882</v>
      </c>
      <c r="D1833" s="8">
        <v>45388</v>
      </c>
      <c r="E1833" s="9" t="str">
        <f>+HYPERLINK("http://trademark.i-assist.jp/data/china/image_1882th/76274181.pdf","76274181")</f>
        <v>76274181</v>
      </c>
      <c r="F1833" s="6" t="s">
        <v>5078</v>
      </c>
      <c r="G1833" s="6" t="s">
        <v>5079</v>
      </c>
      <c r="H1833" s="8" t="s">
        <v>5080</v>
      </c>
      <c r="I1833" s="14">
        <v>45300</v>
      </c>
    </row>
    <row r="1834" spans="1:9" x14ac:dyDescent="0.15">
      <c r="A1834" s="5">
        <v>1833</v>
      </c>
      <c r="B1834" s="6" t="s">
        <v>9</v>
      </c>
      <c r="C1834" s="7">
        <v>1882</v>
      </c>
      <c r="D1834" s="8">
        <v>45388</v>
      </c>
      <c r="E1834" s="9" t="str">
        <f>+HYPERLINK("http://trademark.i-assist.jp/data/china/image_1882th/76274525.pdf","76274525")</f>
        <v>76274525</v>
      </c>
      <c r="F1834" s="6" t="s">
        <v>5081</v>
      </c>
      <c r="G1834" s="6" t="s">
        <v>5082</v>
      </c>
      <c r="H1834" s="8" t="s">
        <v>5083</v>
      </c>
      <c r="I1834" s="14">
        <v>45300</v>
      </c>
    </row>
    <row r="1835" spans="1:9" x14ac:dyDescent="0.15">
      <c r="A1835" s="5">
        <v>1834</v>
      </c>
      <c r="B1835" s="6" t="s">
        <v>9</v>
      </c>
      <c r="C1835" s="7">
        <v>1882</v>
      </c>
      <c r="D1835" s="8">
        <v>45388</v>
      </c>
      <c r="E1835" s="9" t="str">
        <f>+HYPERLINK("http://trademark.i-assist.jp/data/china/image_1882th/76274824.pdf","76274824")</f>
        <v>76274824</v>
      </c>
      <c r="F1835" s="6" t="s">
        <v>5084</v>
      </c>
      <c r="G1835" s="6" t="s">
        <v>787</v>
      </c>
      <c r="H1835" s="8" t="s">
        <v>5085</v>
      </c>
      <c r="I1835" s="14">
        <v>45300</v>
      </c>
    </row>
    <row r="1836" spans="1:9" x14ac:dyDescent="0.15">
      <c r="A1836" s="5">
        <v>1835</v>
      </c>
      <c r="B1836" s="6" t="s">
        <v>9</v>
      </c>
      <c r="C1836" s="7">
        <v>1882</v>
      </c>
      <c r="D1836" s="8">
        <v>45388</v>
      </c>
      <c r="E1836" s="9" t="str">
        <f>+HYPERLINK("http://trademark.i-assist.jp/data/china/image_1882th/76275302.pdf","76275302")</f>
        <v>76275302</v>
      </c>
      <c r="F1836" s="6" t="s">
        <v>5086</v>
      </c>
      <c r="G1836" s="6" t="s">
        <v>5087</v>
      </c>
      <c r="H1836" s="8" t="s">
        <v>5088</v>
      </c>
      <c r="I1836" s="14">
        <v>45300</v>
      </c>
    </row>
    <row r="1837" spans="1:9" x14ac:dyDescent="0.15">
      <c r="A1837" s="5">
        <v>1836</v>
      </c>
      <c r="B1837" s="6" t="s">
        <v>9</v>
      </c>
      <c r="C1837" s="7">
        <v>1882</v>
      </c>
      <c r="D1837" s="8">
        <v>45388</v>
      </c>
      <c r="E1837" s="9" t="str">
        <f>+HYPERLINK("http://trademark.i-assist.jp/data/china/image_1882th/76275376.pdf","76275376")</f>
        <v>76275376</v>
      </c>
      <c r="F1837" s="6" t="s">
        <v>5089</v>
      </c>
      <c r="G1837" s="6" t="s">
        <v>5090</v>
      </c>
      <c r="H1837" s="8" t="s">
        <v>5091</v>
      </c>
      <c r="I1837" s="14">
        <v>45300</v>
      </c>
    </row>
    <row r="1838" spans="1:9" x14ac:dyDescent="0.15">
      <c r="A1838" s="5">
        <v>1837</v>
      </c>
      <c r="B1838" s="6" t="s">
        <v>9</v>
      </c>
      <c r="C1838" s="7">
        <v>1882</v>
      </c>
      <c r="D1838" s="8">
        <v>45388</v>
      </c>
      <c r="E1838" s="9" t="str">
        <f>+HYPERLINK("http://trademark.i-assist.jp/data/china/image_1882th/76275669.pdf","76275669")</f>
        <v>76275669</v>
      </c>
      <c r="F1838" s="6" t="s">
        <v>5092</v>
      </c>
      <c r="G1838" s="6" t="s">
        <v>5093</v>
      </c>
      <c r="H1838" s="8" t="s">
        <v>5094</v>
      </c>
      <c r="I1838" s="14">
        <v>45300</v>
      </c>
    </row>
    <row r="1839" spans="1:9" x14ac:dyDescent="0.15">
      <c r="A1839" s="5">
        <v>1838</v>
      </c>
      <c r="B1839" s="6" t="s">
        <v>9</v>
      </c>
      <c r="C1839" s="7">
        <v>1882</v>
      </c>
      <c r="D1839" s="8">
        <v>45388</v>
      </c>
      <c r="E1839" s="9" t="str">
        <f>+HYPERLINK("http://trademark.i-assist.jp/data/china/image_1882th/76275812.pdf","76275812")</f>
        <v>76275812</v>
      </c>
      <c r="F1839" s="6" t="s">
        <v>5095</v>
      </c>
      <c r="G1839" s="6" t="s">
        <v>5096</v>
      </c>
      <c r="H1839" s="8" t="s">
        <v>5097</v>
      </c>
      <c r="I1839" s="14">
        <v>45300</v>
      </c>
    </row>
    <row r="1840" spans="1:9" x14ac:dyDescent="0.15">
      <c r="A1840" s="5">
        <v>1839</v>
      </c>
      <c r="B1840" s="6" t="s">
        <v>9</v>
      </c>
      <c r="C1840" s="7">
        <v>1882</v>
      </c>
      <c r="D1840" s="8">
        <v>45388</v>
      </c>
      <c r="E1840" s="9" t="str">
        <f>+HYPERLINK("http://trademark.i-assist.jp/data/china/image_1882th/76275915.pdf","76275915")</f>
        <v>76275915</v>
      </c>
      <c r="F1840" s="6" t="s">
        <v>5098</v>
      </c>
      <c r="G1840" s="6" t="s">
        <v>5099</v>
      </c>
      <c r="H1840" s="8" t="s">
        <v>5100</v>
      </c>
      <c r="I1840" s="14">
        <v>45300</v>
      </c>
    </row>
    <row r="1841" spans="1:9" x14ac:dyDescent="0.15">
      <c r="A1841" s="5">
        <v>1840</v>
      </c>
      <c r="B1841" s="6" t="s">
        <v>9</v>
      </c>
      <c r="C1841" s="7">
        <v>1882</v>
      </c>
      <c r="D1841" s="8">
        <v>45388</v>
      </c>
      <c r="E1841" s="9" t="str">
        <f>+HYPERLINK("http://trademark.i-assist.jp/data/china/image_1882th/76276003.pdf","76276003")</f>
        <v>76276003</v>
      </c>
      <c r="F1841" s="6" t="s">
        <v>5101</v>
      </c>
      <c r="G1841" s="6" t="s">
        <v>5102</v>
      </c>
      <c r="H1841" s="8" t="s">
        <v>5103</v>
      </c>
      <c r="I1841" s="14">
        <v>45300</v>
      </c>
    </row>
    <row r="1842" spans="1:9" x14ac:dyDescent="0.15">
      <c r="A1842" s="5">
        <v>1841</v>
      </c>
      <c r="B1842" s="6" t="s">
        <v>9</v>
      </c>
      <c r="C1842" s="7">
        <v>1882</v>
      </c>
      <c r="D1842" s="8">
        <v>45388</v>
      </c>
      <c r="E1842" s="9" t="str">
        <f>+HYPERLINK("http://trademark.i-assist.jp/data/china/image_1882th/76276359.pdf","76276359")</f>
        <v>76276359</v>
      </c>
      <c r="F1842" s="6" t="s">
        <v>5104</v>
      </c>
      <c r="G1842" s="6" t="s">
        <v>5105</v>
      </c>
      <c r="H1842" s="8" t="s">
        <v>5106</v>
      </c>
      <c r="I1842" s="14">
        <v>45300</v>
      </c>
    </row>
    <row r="1843" spans="1:9" x14ac:dyDescent="0.15">
      <c r="A1843" s="5">
        <v>1842</v>
      </c>
      <c r="B1843" s="6" t="s">
        <v>9</v>
      </c>
      <c r="C1843" s="7">
        <v>1882</v>
      </c>
      <c r="D1843" s="8">
        <v>45388</v>
      </c>
      <c r="E1843" s="9" t="str">
        <f>+HYPERLINK("http://trademark.i-assist.jp/data/china/image_1882th/76276458.pdf","76276458")</f>
        <v>76276458</v>
      </c>
      <c r="F1843" s="6" t="s">
        <v>5107</v>
      </c>
      <c r="G1843" s="6" t="s">
        <v>5108</v>
      </c>
      <c r="H1843" s="8" t="s">
        <v>5109</v>
      </c>
      <c r="I1843" s="14">
        <v>45300</v>
      </c>
    </row>
    <row r="1844" spans="1:9" x14ac:dyDescent="0.15">
      <c r="A1844" s="5">
        <v>1843</v>
      </c>
      <c r="B1844" s="6" t="s">
        <v>9</v>
      </c>
      <c r="C1844" s="7">
        <v>1882</v>
      </c>
      <c r="D1844" s="8">
        <v>45388</v>
      </c>
      <c r="E1844" s="9" t="str">
        <f>+HYPERLINK("http://trademark.i-assist.jp/data/china/image_1882th/76276536.pdf","76276536")</f>
        <v>76276536</v>
      </c>
      <c r="F1844" s="6" t="s">
        <v>5110</v>
      </c>
      <c r="G1844" s="6" t="s">
        <v>5046</v>
      </c>
      <c r="H1844" s="8" t="s">
        <v>5111</v>
      </c>
      <c r="I1844" s="14">
        <v>45300</v>
      </c>
    </row>
    <row r="1845" spans="1:9" x14ac:dyDescent="0.15">
      <c r="A1845" s="5">
        <v>1844</v>
      </c>
      <c r="B1845" s="6" t="s">
        <v>9</v>
      </c>
      <c r="C1845" s="7">
        <v>1882</v>
      </c>
      <c r="D1845" s="8">
        <v>45388</v>
      </c>
      <c r="E1845" s="9" t="str">
        <f>+HYPERLINK("http://trademark.i-assist.jp/data/china/image_1882th/76276548.pdf","76276548")</f>
        <v>76276548</v>
      </c>
      <c r="F1845" s="6" t="s">
        <v>5112</v>
      </c>
      <c r="G1845" s="6" t="s">
        <v>5113</v>
      </c>
      <c r="H1845" s="8" t="s">
        <v>5114</v>
      </c>
      <c r="I1845" s="14">
        <v>45300</v>
      </c>
    </row>
    <row r="1846" spans="1:9" x14ac:dyDescent="0.15">
      <c r="A1846" s="5">
        <v>1845</v>
      </c>
      <c r="B1846" s="6" t="s">
        <v>9</v>
      </c>
      <c r="C1846" s="7">
        <v>1882</v>
      </c>
      <c r="D1846" s="8">
        <v>45388</v>
      </c>
      <c r="E1846" s="9" t="str">
        <f>+HYPERLINK("http://trademark.i-assist.jp/data/china/image_1882th/76276593.pdf","76276593")</f>
        <v>76276593</v>
      </c>
      <c r="F1846" s="6" t="s">
        <v>5115</v>
      </c>
      <c r="G1846" s="6" t="s">
        <v>5052</v>
      </c>
      <c r="H1846" s="8" t="s">
        <v>5116</v>
      </c>
      <c r="I1846" s="14">
        <v>45300</v>
      </c>
    </row>
    <row r="1847" spans="1:9" x14ac:dyDescent="0.15">
      <c r="A1847" s="5">
        <v>1846</v>
      </c>
      <c r="B1847" s="6" t="s">
        <v>9</v>
      </c>
      <c r="C1847" s="7">
        <v>1882</v>
      </c>
      <c r="D1847" s="8">
        <v>45388</v>
      </c>
      <c r="E1847" s="9" t="str">
        <f>+HYPERLINK("http://trademark.i-assist.jp/data/china/image_1882th/76276696.pdf","76276696")</f>
        <v>76276696</v>
      </c>
      <c r="F1847" s="6" t="s">
        <v>5117</v>
      </c>
      <c r="G1847" s="6" t="s">
        <v>5118</v>
      </c>
      <c r="H1847" s="8" t="s">
        <v>5119</v>
      </c>
      <c r="I1847" s="14">
        <v>45300</v>
      </c>
    </row>
    <row r="1848" spans="1:9" x14ac:dyDescent="0.15">
      <c r="A1848" s="5">
        <v>1847</v>
      </c>
      <c r="B1848" s="6" t="s">
        <v>9</v>
      </c>
      <c r="C1848" s="7">
        <v>1882</v>
      </c>
      <c r="D1848" s="8">
        <v>45388</v>
      </c>
      <c r="E1848" s="9" t="str">
        <f>+HYPERLINK("http://trademark.i-assist.jp/data/china/image_1882th/76276756.pdf","76276756")</f>
        <v>76276756</v>
      </c>
      <c r="F1848" s="6" t="s">
        <v>5120</v>
      </c>
      <c r="G1848" s="6" t="s">
        <v>4984</v>
      </c>
      <c r="H1848" s="8" t="s">
        <v>5121</v>
      </c>
      <c r="I1848" s="14">
        <v>45300</v>
      </c>
    </row>
    <row r="1849" spans="1:9" x14ac:dyDescent="0.15">
      <c r="A1849" s="5">
        <v>1848</v>
      </c>
      <c r="B1849" s="6" t="s">
        <v>9</v>
      </c>
      <c r="C1849" s="7">
        <v>1882</v>
      </c>
      <c r="D1849" s="8">
        <v>45388</v>
      </c>
      <c r="E1849" s="9" t="str">
        <f>+HYPERLINK("http://trademark.i-assist.jp/data/china/image_1882th/76276843.pdf","76276843")</f>
        <v>76276843</v>
      </c>
      <c r="F1849" s="6" t="s">
        <v>5122</v>
      </c>
      <c r="G1849" s="6" t="s">
        <v>5123</v>
      </c>
      <c r="H1849" s="8" t="s">
        <v>5124</v>
      </c>
      <c r="I1849" s="14">
        <v>45300</v>
      </c>
    </row>
    <row r="1850" spans="1:9" x14ac:dyDescent="0.15">
      <c r="A1850" s="5">
        <v>1849</v>
      </c>
      <c r="B1850" s="6" t="s">
        <v>9</v>
      </c>
      <c r="C1850" s="7">
        <v>1882</v>
      </c>
      <c r="D1850" s="8">
        <v>45388</v>
      </c>
      <c r="E1850" s="9" t="str">
        <f>+HYPERLINK("http://trademark.i-assist.jp/data/china/image_1882th/76276980.pdf","76276980")</f>
        <v>76276980</v>
      </c>
      <c r="F1850" s="6" t="s">
        <v>5125</v>
      </c>
      <c r="G1850" s="6" t="s">
        <v>4972</v>
      </c>
      <c r="H1850" s="8" t="s">
        <v>5126</v>
      </c>
      <c r="I1850" s="14">
        <v>45300</v>
      </c>
    </row>
    <row r="1851" spans="1:9" x14ac:dyDescent="0.15">
      <c r="A1851" s="5">
        <v>1850</v>
      </c>
      <c r="B1851" s="6" t="s">
        <v>9</v>
      </c>
      <c r="C1851" s="7">
        <v>1882</v>
      </c>
      <c r="D1851" s="8">
        <v>45388</v>
      </c>
      <c r="E1851" s="9" t="str">
        <f>+HYPERLINK("http://trademark.i-assist.jp/data/china/image_1882th/76277224.pdf","76277224")</f>
        <v>76277224</v>
      </c>
      <c r="F1851" s="6" t="s">
        <v>5127</v>
      </c>
      <c r="G1851" s="6" t="s">
        <v>5128</v>
      </c>
      <c r="H1851" s="8" t="s">
        <v>5129</v>
      </c>
      <c r="I1851" s="14">
        <v>45300</v>
      </c>
    </row>
    <row r="1852" spans="1:9" x14ac:dyDescent="0.15">
      <c r="A1852" s="5">
        <v>1851</v>
      </c>
      <c r="B1852" s="6" t="s">
        <v>9</v>
      </c>
      <c r="C1852" s="7">
        <v>1882</v>
      </c>
      <c r="D1852" s="8">
        <v>45388</v>
      </c>
      <c r="E1852" s="9" t="str">
        <f>+HYPERLINK("http://trademark.i-assist.jp/data/china/image_1882th/76277242.pdf","76277242")</f>
        <v>76277242</v>
      </c>
      <c r="F1852" s="6" t="s">
        <v>5130</v>
      </c>
      <c r="G1852" s="6" t="s">
        <v>5131</v>
      </c>
      <c r="H1852" s="8" t="s">
        <v>5132</v>
      </c>
      <c r="I1852" s="14">
        <v>45300</v>
      </c>
    </row>
    <row r="1853" spans="1:9" x14ac:dyDescent="0.15">
      <c r="A1853" s="5">
        <v>1852</v>
      </c>
      <c r="B1853" s="6" t="s">
        <v>9</v>
      </c>
      <c r="C1853" s="7">
        <v>1882</v>
      </c>
      <c r="D1853" s="8">
        <v>45388</v>
      </c>
      <c r="E1853" s="9" t="str">
        <f>+HYPERLINK("http://trademark.i-assist.jp/data/china/image_1882th/76277263.pdf","76277263")</f>
        <v>76277263</v>
      </c>
      <c r="F1853" s="6" t="s">
        <v>5133</v>
      </c>
      <c r="G1853" s="6" t="s">
        <v>5134</v>
      </c>
      <c r="H1853" s="8" t="s">
        <v>5135</v>
      </c>
      <c r="I1853" s="14">
        <v>45300</v>
      </c>
    </row>
    <row r="1854" spans="1:9" x14ac:dyDescent="0.15">
      <c r="A1854" s="5">
        <v>1853</v>
      </c>
      <c r="B1854" s="6" t="s">
        <v>9</v>
      </c>
      <c r="C1854" s="7">
        <v>1882</v>
      </c>
      <c r="D1854" s="8">
        <v>45388</v>
      </c>
      <c r="E1854" s="9" t="str">
        <f>+HYPERLINK("http://trademark.i-assist.jp/data/china/image_1882th/76277361.pdf","76277361")</f>
        <v>76277361</v>
      </c>
      <c r="F1854" s="6" t="s">
        <v>5136</v>
      </c>
      <c r="G1854" s="6" t="s">
        <v>5015</v>
      </c>
      <c r="H1854" s="8" t="s">
        <v>5137</v>
      </c>
      <c r="I1854" s="14">
        <v>45300</v>
      </c>
    </row>
    <row r="1855" spans="1:9" x14ac:dyDescent="0.15">
      <c r="A1855" s="5">
        <v>1854</v>
      </c>
      <c r="B1855" s="6" t="s">
        <v>9</v>
      </c>
      <c r="C1855" s="7">
        <v>1882</v>
      </c>
      <c r="D1855" s="8">
        <v>45388</v>
      </c>
      <c r="E1855" s="9" t="str">
        <f>+HYPERLINK("http://trademark.i-assist.jp/data/china/image_1882th/76277417.pdf","76277417")</f>
        <v>76277417</v>
      </c>
      <c r="F1855" s="6" t="s">
        <v>26</v>
      </c>
      <c r="G1855" s="6" t="s">
        <v>5138</v>
      </c>
      <c r="H1855" s="8" t="s">
        <v>5139</v>
      </c>
      <c r="I1855" s="14">
        <v>45300</v>
      </c>
    </row>
    <row r="1856" spans="1:9" x14ac:dyDescent="0.15">
      <c r="A1856" s="5">
        <v>1855</v>
      </c>
      <c r="B1856" s="6" t="s">
        <v>9</v>
      </c>
      <c r="C1856" s="7">
        <v>1882</v>
      </c>
      <c r="D1856" s="8">
        <v>45388</v>
      </c>
      <c r="E1856" s="9" t="str">
        <f>+HYPERLINK("http://trademark.i-assist.jp/data/china/image_1882th/76277650.pdf","76277650")</f>
        <v>76277650</v>
      </c>
      <c r="F1856" s="6" t="s">
        <v>5140</v>
      </c>
      <c r="G1856" s="6" t="s">
        <v>5141</v>
      </c>
      <c r="H1856" s="8" t="s">
        <v>5142</v>
      </c>
      <c r="I1856" s="14">
        <v>45300</v>
      </c>
    </row>
    <row r="1857" spans="1:9" x14ac:dyDescent="0.15">
      <c r="A1857" s="5">
        <v>1856</v>
      </c>
      <c r="B1857" s="6" t="s">
        <v>9</v>
      </c>
      <c r="C1857" s="7">
        <v>1882</v>
      </c>
      <c r="D1857" s="8">
        <v>45388</v>
      </c>
      <c r="E1857" s="9" t="str">
        <f>+HYPERLINK("http://trademark.i-assist.jp/data/china/image_1882th/76277841.pdf","76277841")</f>
        <v>76277841</v>
      </c>
      <c r="F1857" s="6" t="s">
        <v>5143</v>
      </c>
      <c r="G1857" s="6" t="s">
        <v>5144</v>
      </c>
      <c r="H1857" s="8" t="s">
        <v>5145</v>
      </c>
      <c r="I1857" s="14">
        <v>45300</v>
      </c>
    </row>
    <row r="1858" spans="1:9" x14ac:dyDescent="0.15">
      <c r="A1858" s="5">
        <v>1857</v>
      </c>
      <c r="B1858" s="6" t="s">
        <v>9</v>
      </c>
      <c r="C1858" s="7">
        <v>1882</v>
      </c>
      <c r="D1858" s="8">
        <v>45388</v>
      </c>
      <c r="E1858" s="9" t="str">
        <f>+HYPERLINK("http://trademark.i-assist.jp/data/china/image_1882th/76278209.pdf","76278209")</f>
        <v>76278209</v>
      </c>
      <c r="F1858" s="6" t="s">
        <v>5146</v>
      </c>
      <c r="G1858" s="6" t="s">
        <v>5147</v>
      </c>
      <c r="H1858" s="8" t="s">
        <v>5148</v>
      </c>
      <c r="I1858" s="14">
        <v>45300</v>
      </c>
    </row>
    <row r="1859" spans="1:9" x14ac:dyDescent="0.15">
      <c r="A1859" s="5">
        <v>1858</v>
      </c>
      <c r="B1859" s="6" t="s">
        <v>9</v>
      </c>
      <c r="C1859" s="7">
        <v>1882</v>
      </c>
      <c r="D1859" s="8">
        <v>45388</v>
      </c>
      <c r="E1859" s="9" t="str">
        <f>+HYPERLINK("http://trademark.i-assist.jp/data/china/image_1882th/76278557.pdf","76278557")</f>
        <v>76278557</v>
      </c>
      <c r="F1859" s="6" t="s">
        <v>5149</v>
      </c>
      <c r="G1859" s="6" t="s">
        <v>5150</v>
      </c>
      <c r="H1859" s="8" t="s">
        <v>5151</v>
      </c>
      <c r="I1859" s="14">
        <v>45300</v>
      </c>
    </row>
    <row r="1860" spans="1:9" x14ac:dyDescent="0.15">
      <c r="A1860" s="5">
        <v>1859</v>
      </c>
      <c r="B1860" s="6" t="s">
        <v>9</v>
      </c>
      <c r="C1860" s="7">
        <v>1882</v>
      </c>
      <c r="D1860" s="8">
        <v>45388</v>
      </c>
      <c r="E1860" s="9" t="str">
        <f>+HYPERLINK("http://trademark.i-assist.jp/data/china/image_1882th/76278657.pdf","76278657")</f>
        <v>76278657</v>
      </c>
      <c r="F1860" s="6" t="s">
        <v>5152</v>
      </c>
      <c r="G1860" s="6" t="s">
        <v>3671</v>
      </c>
      <c r="H1860" s="8" t="s">
        <v>5153</v>
      </c>
      <c r="I1860" s="14">
        <v>45300</v>
      </c>
    </row>
    <row r="1861" spans="1:9" x14ac:dyDescent="0.15">
      <c r="A1861" s="5">
        <v>1860</v>
      </c>
      <c r="B1861" s="6" t="s">
        <v>9</v>
      </c>
      <c r="C1861" s="7">
        <v>1882</v>
      </c>
      <c r="D1861" s="8">
        <v>45388</v>
      </c>
      <c r="E1861" s="9" t="str">
        <f>+HYPERLINK("http://trademark.i-assist.jp/data/china/image_1882th/76278659.pdf","76278659")</f>
        <v>76278659</v>
      </c>
      <c r="F1861" s="6" t="s">
        <v>5154</v>
      </c>
      <c r="G1861" s="6" t="s">
        <v>4949</v>
      </c>
      <c r="H1861" s="8" t="s">
        <v>5155</v>
      </c>
      <c r="I1861" s="14">
        <v>45300</v>
      </c>
    </row>
    <row r="1862" spans="1:9" x14ac:dyDescent="0.15">
      <c r="A1862" s="5">
        <v>1861</v>
      </c>
      <c r="B1862" s="6" t="s">
        <v>9</v>
      </c>
      <c r="C1862" s="7">
        <v>1882</v>
      </c>
      <c r="D1862" s="8">
        <v>45388</v>
      </c>
      <c r="E1862" s="9" t="str">
        <f>+HYPERLINK("http://trademark.i-assist.jp/data/china/image_1882th/76278715.pdf","76278715")</f>
        <v>76278715</v>
      </c>
      <c r="F1862" s="6" t="s">
        <v>5156</v>
      </c>
      <c r="G1862" s="6" t="s">
        <v>5157</v>
      </c>
      <c r="H1862" s="8" t="s">
        <v>5158</v>
      </c>
      <c r="I1862" s="14">
        <v>45300</v>
      </c>
    </row>
    <row r="1863" spans="1:9" x14ac:dyDescent="0.15">
      <c r="A1863" s="5">
        <v>1862</v>
      </c>
      <c r="B1863" s="6" t="s">
        <v>9</v>
      </c>
      <c r="C1863" s="7">
        <v>1882</v>
      </c>
      <c r="D1863" s="8">
        <v>45388</v>
      </c>
      <c r="E1863" s="9" t="str">
        <f>+HYPERLINK("http://trademark.i-assist.jp/data/china/image_1882th/76278776.pdf","76278776")</f>
        <v>76278776</v>
      </c>
      <c r="F1863" s="6" t="s">
        <v>5159</v>
      </c>
      <c r="G1863" s="6" t="s">
        <v>5160</v>
      </c>
      <c r="H1863" s="8" t="s">
        <v>5161</v>
      </c>
      <c r="I1863" s="14">
        <v>45300</v>
      </c>
    </row>
    <row r="1864" spans="1:9" x14ac:dyDescent="0.15">
      <c r="A1864" s="5">
        <v>1863</v>
      </c>
      <c r="B1864" s="6" t="s">
        <v>9</v>
      </c>
      <c r="C1864" s="7">
        <v>1882</v>
      </c>
      <c r="D1864" s="8">
        <v>45388</v>
      </c>
      <c r="E1864" s="9" t="str">
        <f>+HYPERLINK("http://trademark.i-assist.jp/data/china/image_1882th/76278811.pdf","76278811")</f>
        <v>76278811</v>
      </c>
      <c r="F1864" s="6" t="s">
        <v>26</v>
      </c>
      <c r="G1864" s="6" t="s">
        <v>5162</v>
      </c>
      <c r="H1864" s="8" t="s">
        <v>5163</v>
      </c>
      <c r="I1864" s="14">
        <v>45300</v>
      </c>
    </row>
    <row r="1865" spans="1:9" x14ac:dyDescent="0.15">
      <c r="A1865" s="5">
        <v>1864</v>
      </c>
      <c r="B1865" s="6" t="s">
        <v>9</v>
      </c>
      <c r="C1865" s="7">
        <v>1882</v>
      </c>
      <c r="D1865" s="8">
        <v>45388</v>
      </c>
      <c r="E1865" s="9" t="str">
        <f>+HYPERLINK("http://trademark.i-assist.jp/data/china/image_1882th/76278876.pdf","76278876")</f>
        <v>76278876</v>
      </c>
      <c r="F1865" s="6" t="s">
        <v>5164</v>
      </c>
      <c r="G1865" s="6" t="s">
        <v>5165</v>
      </c>
      <c r="H1865" s="8" t="s">
        <v>5166</v>
      </c>
      <c r="I1865" s="14">
        <v>45300</v>
      </c>
    </row>
    <row r="1866" spans="1:9" x14ac:dyDescent="0.15">
      <c r="A1866" s="5">
        <v>1865</v>
      </c>
      <c r="B1866" s="6" t="s">
        <v>9</v>
      </c>
      <c r="C1866" s="7">
        <v>1882</v>
      </c>
      <c r="D1866" s="8">
        <v>45388</v>
      </c>
      <c r="E1866" s="9" t="str">
        <f>+HYPERLINK("http://trademark.i-assist.jp/data/china/image_1882th/76279546.pdf","76279546")</f>
        <v>76279546</v>
      </c>
      <c r="F1866" s="6" t="s">
        <v>5167</v>
      </c>
      <c r="G1866" s="6" t="s">
        <v>4929</v>
      </c>
      <c r="H1866" s="8" t="s">
        <v>5168</v>
      </c>
      <c r="I1866" s="14">
        <v>45300</v>
      </c>
    </row>
    <row r="1867" spans="1:9" x14ac:dyDescent="0.15">
      <c r="A1867" s="5">
        <v>1866</v>
      </c>
      <c r="B1867" s="6" t="s">
        <v>9</v>
      </c>
      <c r="C1867" s="7">
        <v>1882</v>
      </c>
      <c r="D1867" s="8">
        <v>45388</v>
      </c>
      <c r="E1867" s="9" t="str">
        <f>+HYPERLINK("http://trademark.i-assist.jp/data/china/image_1882th/76279668.pdf","76279668")</f>
        <v>76279668</v>
      </c>
      <c r="F1867" s="6" t="s">
        <v>5169</v>
      </c>
      <c r="G1867" s="6" t="s">
        <v>5170</v>
      </c>
      <c r="H1867" s="8" t="s">
        <v>5171</v>
      </c>
      <c r="I1867" s="14">
        <v>45300</v>
      </c>
    </row>
    <row r="1868" spans="1:9" x14ac:dyDescent="0.15">
      <c r="A1868" s="5">
        <v>1867</v>
      </c>
      <c r="B1868" s="6" t="s">
        <v>9</v>
      </c>
      <c r="C1868" s="7">
        <v>1882</v>
      </c>
      <c r="D1868" s="8">
        <v>45388</v>
      </c>
      <c r="E1868" s="9" t="str">
        <f>+HYPERLINK("http://trademark.i-assist.jp/data/china/image_1882th/76280270.pdf","76280270")</f>
        <v>76280270</v>
      </c>
      <c r="F1868" s="6" t="s">
        <v>5172</v>
      </c>
      <c r="G1868" s="6" t="s">
        <v>5173</v>
      </c>
      <c r="H1868" s="8" t="s">
        <v>5174</v>
      </c>
      <c r="I1868" s="14">
        <v>45300</v>
      </c>
    </row>
    <row r="1869" spans="1:9" x14ac:dyDescent="0.15">
      <c r="A1869" s="5">
        <v>1868</v>
      </c>
      <c r="B1869" s="6" t="s">
        <v>9</v>
      </c>
      <c r="C1869" s="7">
        <v>1882</v>
      </c>
      <c r="D1869" s="8">
        <v>45388</v>
      </c>
      <c r="E1869" s="9" t="str">
        <f>+HYPERLINK("http://trademark.i-assist.jp/data/china/image_1882th/76280532.pdf","76280532")</f>
        <v>76280532</v>
      </c>
      <c r="F1869" s="6" t="s">
        <v>5175</v>
      </c>
      <c r="G1869" s="6" t="s">
        <v>5176</v>
      </c>
      <c r="H1869" s="8" t="s">
        <v>5177</v>
      </c>
      <c r="I1869" s="14">
        <v>45300</v>
      </c>
    </row>
    <row r="1870" spans="1:9" x14ac:dyDescent="0.15">
      <c r="A1870" s="5">
        <v>1869</v>
      </c>
      <c r="B1870" s="6" t="s">
        <v>9</v>
      </c>
      <c r="C1870" s="7">
        <v>1882</v>
      </c>
      <c r="D1870" s="8">
        <v>45388</v>
      </c>
      <c r="E1870" s="9" t="str">
        <f>+HYPERLINK("http://trademark.i-assist.jp/data/china/image_1882th/76280759.pdf","76280759")</f>
        <v>76280759</v>
      </c>
      <c r="F1870" s="6" t="s">
        <v>5178</v>
      </c>
      <c r="G1870" s="6" t="s">
        <v>5179</v>
      </c>
      <c r="H1870" s="8" t="s">
        <v>5180</v>
      </c>
      <c r="I1870" s="14">
        <v>45300</v>
      </c>
    </row>
    <row r="1871" spans="1:9" x14ac:dyDescent="0.15">
      <c r="A1871" s="5">
        <v>1870</v>
      </c>
      <c r="B1871" s="6" t="s">
        <v>9</v>
      </c>
      <c r="C1871" s="7">
        <v>1882</v>
      </c>
      <c r="D1871" s="8">
        <v>45388</v>
      </c>
      <c r="E1871" s="9" t="str">
        <f>+HYPERLINK("http://trademark.i-assist.jp/data/china/image_1882th/76280968.pdf","76280968")</f>
        <v>76280968</v>
      </c>
      <c r="F1871" s="6" t="s">
        <v>5181</v>
      </c>
      <c r="G1871" s="6" t="s">
        <v>4964</v>
      </c>
      <c r="H1871" s="8" t="s">
        <v>5182</v>
      </c>
      <c r="I1871" s="14">
        <v>45300</v>
      </c>
    </row>
    <row r="1872" spans="1:9" x14ac:dyDescent="0.15">
      <c r="A1872" s="5">
        <v>1871</v>
      </c>
      <c r="B1872" s="6" t="s">
        <v>9</v>
      </c>
      <c r="C1872" s="7">
        <v>1882</v>
      </c>
      <c r="D1872" s="8">
        <v>45388</v>
      </c>
      <c r="E1872" s="9" t="str">
        <f>+HYPERLINK("http://trademark.i-assist.jp/data/china/image_1882th/76281008.pdf","76281008")</f>
        <v>76281008</v>
      </c>
      <c r="F1872" s="6" t="s">
        <v>5183</v>
      </c>
      <c r="G1872" s="6" t="s">
        <v>5184</v>
      </c>
      <c r="H1872" s="8" t="s">
        <v>5185</v>
      </c>
      <c r="I1872" s="14">
        <v>45300</v>
      </c>
    </row>
    <row r="1873" spans="1:9" x14ac:dyDescent="0.15">
      <c r="A1873" s="5">
        <v>1872</v>
      </c>
      <c r="B1873" s="6" t="s">
        <v>9</v>
      </c>
      <c r="C1873" s="7">
        <v>1882</v>
      </c>
      <c r="D1873" s="8">
        <v>45388</v>
      </c>
      <c r="E1873" s="9" t="str">
        <f>+HYPERLINK("http://trademark.i-assist.jp/data/china/image_1882th/76281049.pdf","76281049")</f>
        <v>76281049</v>
      </c>
      <c r="F1873" s="6" t="s">
        <v>5186</v>
      </c>
      <c r="G1873" s="6" t="s">
        <v>5187</v>
      </c>
      <c r="H1873" s="8" t="s">
        <v>5188</v>
      </c>
      <c r="I1873" s="14">
        <v>45300</v>
      </c>
    </row>
    <row r="1874" spans="1:9" x14ac:dyDescent="0.15">
      <c r="A1874" s="5">
        <v>1873</v>
      </c>
      <c r="B1874" s="6" t="s">
        <v>9</v>
      </c>
      <c r="C1874" s="7">
        <v>1882</v>
      </c>
      <c r="D1874" s="8">
        <v>45388</v>
      </c>
      <c r="E1874" s="9" t="str">
        <f>+HYPERLINK("http://trademark.i-assist.jp/data/china/image_1882th/76281351.pdf","76281351")</f>
        <v>76281351</v>
      </c>
      <c r="F1874" s="6" t="s">
        <v>5189</v>
      </c>
      <c r="G1874" s="6" t="s">
        <v>5190</v>
      </c>
      <c r="H1874" s="8" t="s">
        <v>5191</v>
      </c>
      <c r="I1874" s="14">
        <v>45300</v>
      </c>
    </row>
    <row r="1875" spans="1:9" x14ac:dyDescent="0.15">
      <c r="A1875" s="5">
        <v>1874</v>
      </c>
      <c r="B1875" s="6" t="s">
        <v>9</v>
      </c>
      <c r="C1875" s="7">
        <v>1882</v>
      </c>
      <c r="D1875" s="8">
        <v>45388</v>
      </c>
      <c r="E1875" s="9" t="str">
        <f>+HYPERLINK("http://trademark.i-assist.jp/data/china/image_1882th/76281360.pdf","76281360")</f>
        <v>76281360</v>
      </c>
      <c r="F1875" s="6" t="s">
        <v>5192</v>
      </c>
      <c r="G1875" s="6" t="s">
        <v>5193</v>
      </c>
      <c r="H1875" s="8" t="s">
        <v>5194</v>
      </c>
      <c r="I1875" s="14">
        <v>45300</v>
      </c>
    </row>
    <row r="1876" spans="1:9" x14ac:dyDescent="0.15">
      <c r="A1876" s="5">
        <v>1875</v>
      </c>
      <c r="B1876" s="6" t="s">
        <v>9</v>
      </c>
      <c r="C1876" s="7">
        <v>1882</v>
      </c>
      <c r="D1876" s="8">
        <v>45388</v>
      </c>
      <c r="E1876" s="9" t="str">
        <f>+HYPERLINK("http://trademark.i-assist.jp/data/china/image_1882th/76281427.pdf","76281427")</f>
        <v>76281427</v>
      </c>
      <c r="F1876" s="6" t="s">
        <v>5195</v>
      </c>
      <c r="G1876" s="6" t="s">
        <v>5170</v>
      </c>
      <c r="H1876" s="8" t="s">
        <v>5196</v>
      </c>
      <c r="I1876" s="14">
        <v>45300</v>
      </c>
    </row>
    <row r="1877" spans="1:9" x14ac:dyDescent="0.15">
      <c r="A1877" s="5">
        <v>1876</v>
      </c>
      <c r="B1877" s="6" t="s">
        <v>9</v>
      </c>
      <c r="C1877" s="7">
        <v>1882</v>
      </c>
      <c r="D1877" s="8">
        <v>45388</v>
      </c>
      <c r="E1877" s="9" t="str">
        <f>+HYPERLINK("http://trademark.i-assist.jp/data/china/image_1882th/76281511.pdf","76281511")</f>
        <v>76281511</v>
      </c>
      <c r="F1877" s="6" t="s">
        <v>5197</v>
      </c>
      <c r="G1877" s="6" t="s">
        <v>5198</v>
      </c>
      <c r="H1877" s="8" t="s">
        <v>5199</v>
      </c>
      <c r="I1877" s="14">
        <v>45300</v>
      </c>
    </row>
    <row r="1878" spans="1:9" x14ac:dyDescent="0.15">
      <c r="A1878" s="5">
        <v>1877</v>
      </c>
      <c r="B1878" s="6" t="s">
        <v>9</v>
      </c>
      <c r="C1878" s="7">
        <v>1882</v>
      </c>
      <c r="D1878" s="8">
        <v>45388</v>
      </c>
      <c r="E1878" s="9" t="str">
        <f>+HYPERLINK("http://trademark.i-assist.jp/data/china/image_1882th/76281535.pdf","76281535")</f>
        <v>76281535</v>
      </c>
      <c r="F1878" s="6" t="s">
        <v>5200</v>
      </c>
      <c r="G1878" s="6" t="s">
        <v>5201</v>
      </c>
      <c r="H1878" s="8" t="s">
        <v>5202</v>
      </c>
      <c r="I1878" s="14">
        <v>45300</v>
      </c>
    </row>
    <row r="1879" spans="1:9" x14ac:dyDescent="0.15">
      <c r="A1879" s="5">
        <v>1878</v>
      </c>
      <c r="B1879" s="6" t="s">
        <v>9</v>
      </c>
      <c r="C1879" s="7">
        <v>1882</v>
      </c>
      <c r="D1879" s="8">
        <v>45388</v>
      </c>
      <c r="E1879" s="9" t="str">
        <f>+HYPERLINK("http://trademark.i-assist.jp/data/china/image_1882th/76281581.pdf","76281581")</f>
        <v>76281581</v>
      </c>
      <c r="F1879" s="6" t="s">
        <v>5203</v>
      </c>
      <c r="G1879" s="6" t="s">
        <v>2880</v>
      </c>
      <c r="H1879" s="8" t="s">
        <v>5204</v>
      </c>
      <c r="I1879" s="14">
        <v>45300</v>
      </c>
    </row>
    <row r="1880" spans="1:9" x14ac:dyDescent="0.15">
      <c r="A1880" s="5">
        <v>1879</v>
      </c>
      <c r="B1880" s="6" t="s">
        <v>9</v>
      </c>
      <c r="C1880" s="7">
        <v>1882</v>
      </c>
      <c r="D1880" s="8">
        <v>45388</v>
      </c>
      <c r="E1880" s="9" t="str">
        <f>+HYPERLINK("http://trademark.i-assist.jp/data/china/image_1882th/76281596.pdf","76281596")</f>
        <v>76281596</v>
      </c>
      <c r="F1880" s="6" t="s">
        <v>5205</v>
      </c>
      <c r="G1880" s="6" t="s">
        <v>4949</v>
      </c>
      <c r="H1880" s="8" t="s">
        <v>5206</v>
      </c>
      <c r="I1880" s="14">
        <v>45300</v>
      </c>
    </row>
    <row r="1881" spans="1:9" x14ac:dyDescent="0.15">
      <c r="A1881" s="5">
        <v>1880</v>
      </c>
      <c r="B1881" s="6" t="s">
        <v>9</v>
      </c>
      <c r="C1881" s="7">
        <v>1882</v>
      </c>
      <c r="D1881" s="8">
        <v>45388</v>
      </c>
      <c r="E1881" s="9" t="str">
        <f>+HYPERLINK("http://trademark.i-assist.jp/data/china/image_1882th/76281629.pdf","76281629")</f>
        <v>76281629</v>
      </c>
      <c r="F1881" s="6" t="s">
        <v>5207</v>
      </c>
      <c r="G1881" s="6" t="s">
        <v>5157</v>
      </c>
      <c r="H1881" s="8" t="s">
        <v>5208</v>
      </c>
      <c r="I1881" s="14">
        <v>45300</v>
      </c>
    </row>
    <row r="1882" spans="1:9" x14ac:dyDescent="0.15">
      <c r="A1882" s="5">
        <v>1881</v>
      </c>
      <c r="B1882" s="6" t="s">
        <v>9</v>
      </c>
      <c r="C1882" s="7">
        <v>1882</v>
      </c>
      <c r="D1882" s="8">
        <v>45388</v>
      </c>
      <c r="E1882" s="9" t="str">
        <f>+HYPERLINK("http://trademark.i-assist.jp/data/china/image_1882th/76281656.pdf","76281656")</f>
        <v>76281656</v>
      </c>
      <c r="F1882" s="6" t="s">
        <v>5209</v>
      </c>
      <c r="G1882" s="6" t="s">
        <v>5033</v>
      </c>
      <c r="H1882" s="8" t="s">
        <v>5210</v>
      </c>
      <c r="I1882" s="14">
        <v>45300</v>
      </c>
    </row>
    <row r="1883" spans="1:9" x14ac:dyDescent="0.15">
      <c r="A1883" s="5">
        <v>1882</v>
      </c>
      <c r="B1883" s="6" t="s">
        <v>9</v>
      </c>
      <c r="C1883" s="7">
        <v>1882</v>
      </c>
      <c r="D1883" s="8">
        <v>45388</v>
      </c>
      <c r="E1883" s="9" t="str">
        <f>+HYPERLINK("http://trademark.i-assist.jp/data/china/image_1882th/76281664.pdf","76281664")</f>
        <v>76281664</v>
      </c>
      <c r="F1883" s="6" t="s">
        <v>5211</v>
      </c>
      <c r="G1883" s="6" t="s">
        <v>5033</v>
      </c>
      <c r="H1883" s="8" t="s">
        <v>5212</v>
      </c>
      <c r="I1883" s="14">
        <v>45300</v>
      </c>
    </row>
    <row r="1884" spans="1:9" x14ac:dyDescent="0.15">
      <c r="A1884" s="5">
        <v>1883</v>
      </c>
      <c r="B1884" s="6" t="s">
        <v>9</v>
      </c>
      <c r="C1884" s="7">
        <v>1882</v>
      </c>
      <c r="D1884" s="8">
        <v>45388</v>
      </c>
      <c r="E1884" s="9" t="str">
        <f>+HYPERLINK("http://trademark.i-assist.jp/data/china/image_1882th/76281737.pdf","76281737")</f>
        <v>76281737</v>
      </c>
      <c r="F1884" s="6" t="s">
        <v>5213</v>
      </c>
      <c r="G1884" s="6" t="s">
        <v>5214</v>
      </c>
      <c r="H1884" s="8" t="s">
        <v>5215</v>
      </c>
      <c r="I1884" s="14">
        <v>45300</v>
      </c>
    </row>
    <row r="1885" spans="1:9" x14ac:dyDescent="0.15">
      <c r="A1885" s="5">
        <v>1884</v>
      </c>
      <c r="B1885" s="6" t="s">
        <v>9</v>
      </c>
      <c r="C1885" s="7">
        <v>1882</v>
      </c>
      <c r="D1885" s="8">
        <v>45388</v>
      </c>
      <c r="E1885" s="9" t="str">
        <f>+HYPERLINK("http://trademark.i-assist.jp/data/china/image_1882th/76281895.pdf","76281895")</f>
        <v>76281895</v>
      </c>
      <c r="F1885" s="6" t="s">
        <v>5216</v>
      </c>
      <c r="G1885" s="6" t="s">
        <v>5002</v>
      </c>
      <c r="H1885" s="8" t="s">
        <v>5217</v>
      </c>
      <c r="I1885" s="14">
        <v>45300</v>
      </c>
    </row>
    <row r="1886" spans="1:9" x14ac:dyDescent="0.15">
      <c r="A1886" s="5">
        <v>1885</v>
      </c>
      <c r="B1886" s="6" t="s">
        <v>9</v>
      </c>
      <c r="C1886" s="7">
        <v>1882</v>
      </c>
      <c r="D1886" s="8">
        <v>45388</v>
      </c>
      <c r="E1886" s="9" t="str">
        <f>+HYPERLINK("http://trademark.i-assist.jp/data/china/image_1882th/76281945.pdf","76281945")</f>
        <v>76281945</v>
      </c>
      <c r="F1886" s="6" t="s">
        <v>5218</v>
      </c>
      <c r="G1886" s="6" t="s">
        <v>3697</v>
      </c>
      <c r="H1886" s="8" t="s">
        <v>5219</v>
      </c>
      <c r="I1886" s="14">
        <v>45300</v>
      </c>
    </row>
    <row r="1887" spans="1:9" x14ac:dyDescent="0.15">
      <c r="A1887" s="5">
        <v>1886</v>
      </c>
      <c r="B1887" s="6" t="s">
        <v>9</v>
      </c>
      <c r="C1887" s="7">
        <v>1882</v>
      </c>
      <c r="D1887" s="8">
        <v>45388</v>
      </c>
      <c r="E1887" s="9" t="str">
        <f>+HYPERLINK("http://trademark.i-assist.jp/data/china/image_1882th/76281951.pdf","76281951")</f>
        <v>76281951</v>
      </c>
      <c r="F1887" s="6" t="s">
        <v>5220</v>
      </c>
      <c r="G1887" s="6" t="s">
        <v>3697</v>
      </c>
      <c r="H1887" s="8" t="s">
        <v>5221</v>
      </c>
      <c r="I1887" s="14">
        <v>45300</v>
      </c>
    </row>
    <row r="1888" spans="1:9" x14ac:dyDescent="0.15">
      <c r="A1888" s="5">
        <v>1887</v>
      </c>
      <c r="B1888" s="6" t="s">
        <v>9</v>
      </c>
      <c r="C1888" s="7">
        <v>1882</v>
      </c>
      <c r="D1888" s="8">
        <v>45388</v>
      </c>
      <c r="E1888" s="9" t="str">
        <f>+HYPERLINK("http://trademark.i-assist.jp/data/china/image_1882th/76282036.pdf","76282036")</f>
        <v>76282036</v>
      </c>
      <c r="F1888" s="6" t="s">
        <v>5222</v>
      </c>
      <c r="G1888" s="6" t="s">
        <v>5223</v>
      </c>
      <c r="H1888" s="8" t="s">
        <v>5224</v>
      </c>
      <c r="I1888" s="14">
        <v>45300</v>
      </c>
    </row>
    <row r="1889" spans="1:9" x14ac:dyDescent="0.15">
      <c r="A1889" s="5">
        <v>1888</v>
      </c>
      <c r="B1889" s="6" t="s">
        <v>9</v>
      </c>
      <c r="C1889" s="7">
        <v>1882</v>
      </c>
      <c r="D1889" s="8">
        <v>45388</v>
      </c>
      <c r="E1889" s="9" t="str">
        <f>+HYPERLINK("http://trademark.i-assist.jp/data/china/image_1882th/76282128.pdf","76282128")</f>
        <v>76282128</v>
      </c>
      <c r="F1889" s="6" t="s">
        <v>5225</v>
      </c>
      <c r="G1889" s="6" t="s">
        <v>5226</v>
      </c>
      <c r="H1889" s="8" t="s">
        <v>5227</v>
      </c>
      <c r="I1889" s="14">
        <v>45300</v>
      </c>
    </row>
    <row r="1890" spans="1:9" x14ac:dyDescent="0.15">
      <c r="A1890" s="5">
        <v>1889</v>
      </c>
      <c r="B1890" s="6" t="s">
        <v>9</v>
      </c>
      <c r="C1890" s="7">
        <v>1882</v>
      </c>
      <c r="D1890" s="8">
        <v>45388</v>
      </c>
      <c r="E1890" s="9" t="str">
        <f>+HYPERLINK("http://trademark.i-assist.jp/data/china/image_1882th/76282174.pdf","76282174")</f>
        <v>76282174</v>
      </c>
      <c r="F1890" s="6" t="s">
        <v>5228</v>
      </c>
      <c r="G1890" s="6" t="s">
        <v>5160</v>
      </c>
      <c r="H1890" s="8" t="s">
        <v>5229</v>
      </c>
      <c r="I1890" s="14">
        <v>45300</v>
      </c>
    </row>
    <row r="1891" spans="1:9" x14ac:dyDescent="0.15">
      <c r="A1891" s="5">
        <v>1890</v>
      </c>
      <c r="B1891" s="6" t="s">
        <v>9</v>
      </c>
      <c r="C1891" s="7">
        <v>1882</v>
      </c>
      <c r="D1891" s="8">
        <v>45388</v>
      </c>
      <c r="E1891" s="9" t="str">
        <f>+HYPERLINK("http://trademark.i-assist.jp/data/china/image_1882th/76282227.pdf","76282227")</f>
        <v>76282227</v>
      </c>
      <c r="F1891" s="6" t="s">
        <v>5230</v>
      </c>
      <c r="G1891" s="6" t="s">
        <v>5231</v>
      </c>
      <c r="H1891" s="8" t="s">
        <v>5232</v>
      </c>
      <c r="I1891" s="14">
        <v>45300</v>
      </c>
    </row>
    <row r="1892" spans="1:9" x14ac:dyDescent="0.15">
      <c r="A1892" s="5">
        <v>1891</v>
      </c>
      <c r="B1892" s="6" t="s">
        <v>9</v>
      </c>
      <c r="C1892" s="7">
        <v>1882</v>
      </c>
      <c r="D1892" s="8">
        <v>45388</v>
      </c>
      <c r="E1892" s="9" t="str">
        <f>+HYPERLINK("http://trademark.i-assist.jp/data/china/image_1882th/76282308.pdf","76282308")</f>
        <v>76282308</v>
      </c>
      <c r="F1892" s="6" t="s">
        <v>5233</v>
      </c>
      <c r="G1892" s="6" t="s">
        <v>5234</v>
      </c>
      <c r="H1892" s="8" t="s">
        <v>5235</v>
      </c>
      <c r="I1892" s="14">
        <v>45300</v>
      </c>
    </row>
    <row r="1893" spans="1:9" x14ac:dyDescent="0.15">
      <c r="A1893" s="5">
        <v>1892</v>
      </c>
      <c r="B1893" s="6" t="s">
        <v>9</v>
      </c>
      <c r="C1893" s="7">
        <v>1882</v>
      </c>
      <c r="D1893" s="8">
        <v>45388</v>
      </c>
      <c r="E1893" s="9" t="str">
        <f>+HYPERLINK("http://trademark.i-assist.jp/data/china/image_1882th/76282320.pdf","76282320")</f>
        <v>76282320</v>
      </c>
      <c r="F1893" s="6" t="s">
        <v>5236</v>
      </c>
      <c r="G1893" s="6" t="s">
        <v>3743</v>
      </c>
      <c r="H1893" s="8" t="s">
        <v>5237</v>
      </c>
      <c r="I1893" s="14">
        <v>45300</v>
      </c>
    </row>
    <row r="1894" spans="1:9" x14ac:dyDescent="0.15">
      <c r="A1894" s="5">
        <v>1893</v>
      </c>
      <c r="B1894" s="6" t="s">
        <v>9</v>
      </c>
      <c r="C1894" s="7">
        <v>1882</v>
      </c>
      <c r="D1894" s="8">
        <v>45388</v>
      </c>
      <c r="E1894" s="9" t="str">
        <f>+HYPERLINK("http://trademark.i-assist.jp/data/china/image_1882th/76282366.pdf","76282366")</f>
        <v>76282366</v>
      </c>
      <c r="F1894" s="6" t="s">
        <v>5238</v>
      </c>
      <c r="G1894" s="6" t="s">
        <v>5239</v>
      </c>
      <c r="H1894" s="8" t="s">
        <v>5240</v>
      </c>
      <c r="I1894" s="14">
        <v>45300</v>
      </c>
    </row>
    <row r="1895" spans="1:9" x14ac:dyDescent="0.15">
      <c r="A1895" s="5">
        <v>1894</v>
      </c>
      <c r="B1895" s="6" t="s">
        <v>9</v>
      </c>
      <c r="C1895" s="7">
        <v>1882</v>
      </c>
      <c r="D1895" s="8">
        <v>45388</v>
      </c>
      <c r="E1895" s="9" t="str">
        <f>+HYPERLINK("http://trademark.i-assist.jp/data/china/image_1882th/76282419.pdf","76282419")</f>
        <v>76282419</v>
      </c>
      <c r="F1895" s="6" t="s">
        <v>5241</v>
      </c>
      <c r="G1895" s="6" t="s">
        <v>5242</v>
      </c>
      <c r="H1895" s="8" t="s">
        <v>5243</v>
      </c>
      <c r="I1895" s="14">
        <v>45300</v>
      </c>
    </row>
    <row r="1896" spans="1:9" x14ac:dyDescent="0.15">
      <c r="A1896" s="5">
        <v>1895</v>
      </c>
      <c r="B1896" s="6" t="s">
        <v>9</v>
      </c>
      <c r="C1896" s="7">
        <v>1882</v>
      </c>
      <c r="D1896" s="8">
        <v>45388</v>
      </c>
      <c r="E1896" s="9" t="str">
        <f>+HYPERLINK("http://trademark.i-assist.jp/data/china/image_1882th/76282461.pdf","76282461")</f>
        <v>76282461</v>
      </c>
      <c r="F1896" s="6" t="s">
        <v>26</v>
      </c>
      <c r="G1896" s="6" t="s">
        <v>5244</v>
      </c>
      <c r="H1896" s="8" t="s">
        <v>5245</v>
      </c>
      <c r="I1896" s="14">
        <v>45300</v>
      </c>
    </row>
    <row r="1897" spans="1:9" x14ac:dyDescent="0.15">
      <c r="A1897" s="5">
        <v>1896</v>
      </c>
      <c r="B1897" s="6" t="s">
        <v>9</v>
      </c>
      <c r="C1897" s="7">
        <v>1882</v>
      </c>
      <c r="D1897" s="8">
        <v>45388</v>
      </c>
      <c r="E1897" s="9" t="str">
        <f>+HYPERLINK("http://trademark.i-assist.jp/data/china/image_1882th/76282498.pdf","76282498")</f>
        <v>76282498</v>
      </c>
      <c r="F1897" s="6" t="s">
        <v>5246</v>
      </c>
      <c r="G1897" s="6" t="s">
        <v>5247</v>
      </c>
      <c r="H1897" s="8" t="s">
        <v>5248</v>
      </c>
      <c r="I1897" s="14">
        <v>45300</v>
      </c>
    </row>
    <row r="1898" spans="1:9" x14ac:dyDescent="0.15">
      <c r="A1898" s="5">
        <v>1897</v>
      </c>
      <c r="B1898" s="6" t="s">
        <v>9</v>
      </c>
      <c r="C1898" s="7">
        <v>1882</v>
      </c>
      <c r="D1898" s="8">
        <v>45388</v>
      </c>
      <c r="E1898" s="9" t="str">
        <f>+HYPERLINK("http://trademark.i-assist.jp/data/china/image_1882th/76282559.pdf","76282559")</f>
        <v>76282559</v>
      </c>
      <c r="F1898" s="6" t="s">
        <v>5249</v>
      </c>
      <c r="G1898" s="6" t="s">
        <v>5250</v>
      </c>
      <c r="H1898" s="8" t="s">
        <v>5251</v>
      </c>
      <c r="I1898" s="14">
        <v>45300</v>
      </c>
    </row>
    <row r="1899" spans="1:9" x14ac:dyDescent="0.15">
      <c r="A1899" s="5">
        <v>1898</v>
      </c>
      <c r="B1899" s="6" t="s">
        <v>9</v>
      </c>
      <c r="C1899" s="7">
        <v>1882</v>
      </c>
      <c r="D1899" s="8">
        <v>45388</v>
      </c>
      <c r="E1899" s="9" t="str">
        <f>+HYPERLINK("http://trademark.i-assist.jp/data/china/image_1882th/76282611.pdf","76282611")</f>
        <v>76282611</v>
      </c>
      <c r="F1899" s="6" t="s">
        <v>5252</v>
      </c>
      <c r="G1899" s="6" t="s">
        <v>5253</v>
      </c>
      <c r="H1899" s="8" t="s">
        <v>5254</v>
      </c>
      <c r="I1899" s="14">
        <v>45300</v>
      </c>
    </row>
    <row r="1900" spans="1:9" x14ac:dyDescent="0.15">
      <c r="A1900" s="5">
        <v>1899</v>
      </c>
      <c r="B1900" s="6" t="s">
        <v>9</v>
      </c>
      <c r="C1900" s="7">
        <v>1882</v>
      </c>
      <c r="D1900" s="8">
        <v>45388</v>
      </c>
      <c r="E1900" s="9" t="str">
        <f>+HYPERLINK("http://trademark.i-assist.jp/data/china/image_1882th/76282686.pdf","76282686")</f>
        <v>76282686</v>
      </c>
      <c r="F1900" s="6" t="s">
        <v>5255</v>
      </c>
      <c r="G1900" s="6" t="s">
        <v>5256</v>
      </c>
      <c r="H1900" s="8" t="s">
        <v>5257</v>
      </c>
      <c r="I1900" s="14">
        <v>45300</v>
      </c>
    </row>
    <row r="1901" spans="1:9" x14ac:dyDescent="0.15">
      <c r="A1901" s="5">
        <v>1900</v>
      </c>
      <c r="B1901" s="6" t="s">
        <v>9</v>
      </c>
      <c r="C1901" s="7">
        <v>1882</v>
      </c>
      <c r="D1901" s="8">
        <v>45388</v>
      </c>
      <c r="E1901" s="9" t="str">
        <f>+HYPERLINK("http://trademark.i-assist.jp/data/china/image_1882th/76282690.pdf","76282690")</f>
        <v>76282690</v>
      </c>
      <c r="F1901" s="6" t="s">
        <v>5258</v>
      </c>
      <c r="G1901" s="6" t="s">
        <v>5128</v>
      </c>
      <c r="H1901" s="8" t="s">
        <v>5259</v>
      </c>
      <c r="I1901" s="14">
        <v>45300</v>
      </c>
    </row>
    <row r="1902" spans="1:9" x14ac:dyDescent="0.15">
      <c r="A1902" s="5">
        <v>1901</v>
      </c>
      <c r="B1902" s="6" t="s">
        <v>9</v>
      </c>
      <c r="C1902" s="7">
        <v>1882</v>
      </c>
      <c r="D1902" s="8">
        <v>45388</v>
      </c>
      <c r="E1902" s="9" t="str">
        <f>+HYPERLINK("http://trademark.i-assist.jp/data/china/image_1882th/76282793.pdf","76282793")</f>
        <v>76282793</v>
      </c>
      <c r="F1902" s="6" t="s">
        <v>5260</v>
      </c>
      <c r="G1902" s="6" t="s">
        <v>5261</v>
      </c>
      <c r="H1902" s="8" t="s">
        <v>5262</v>
      </c>
      <c r="I1902" s="14">
        <v>45300</v>
      </c>
    </row>
    <row r="1903" spans="1:9" x14ac:dyDescent="0.15">
      <c r="A1903" s="5">
        <v>1902</v>
      </c>
      <c r="B1903" s="6" t="s">
        <v>9</v>
      </c>
      <c r="C1903" s="7">
        <v>1882</v>
      </c>
      <c r="D1903" s="8">
        <v>45388</v>
      </c>
      <c r="E1903" s="9" t="str">
        <f>+HYPERLINK("http://trademark.i-assist.jp/data/china/image_1882th/76282902.pdf","76282902")</f>
        <v>76282902</v>
      </c>
      <c r="F1903" s="6" t="s">
        <v>26</v>
      </c>
      <c r="G1903" s="6" t="s">
        <v>5263</v>
      </c>
      <c r="H1903" s="8" t="s">
        <v>5264</v>
      </c>
      <c r="I1903" s="14">
        <v>45300</v>
      </c>
    </row>
    <row r="1904" spans="1:9" x14ac:dyDescent="0.15">
      <c r="A1904" s="5">
        <v>1903</v>
      </c>
      <c r="B1904" s="6" t="s">
        <v>9</v>
      </c>
      <c r="C1904" s="7">
        <v>1882</v>
      </c>
      <c r="D1904" s="8">
        <v>45388</v>
      </c>
      <c r="E1904" s="9" t="str">
        <f>+HYPERLINK("http://trademark.i-assist.jp/data/china/image_1882th/76282914.pdf","76282914")</f>
        <v>76282914</v>
      </c>
      <c r="F1904" s="6" t="s">
        <v>5265</v>
      </c>
      <c r="G1904" s="6" t="s">
        <v>4029</v>
      </c>
      <c r="H1904" s="8" t="s">
        <v>5266</v>
      </c>
      <c r="I1904" s="14">
        <v>45300</v>
      </c>
    </row>
    <row r="1905" spans="1:9" x14ac:dyDescent="0.15">
      <c r="A1905" s="5">
        <v>1904</v>
      </c>
      <c r="B1905" s="6" t="s">
        <v>9</v>
      </c>
      <c r="C1905" s="7">
        <v>1882</v>
      </c>
      <c r="D1905" s="8">
        <v>45388</v>
      </c>
      <c r="E1905" s="9" t="str">
        <f>+HYPERLINK("http://trademark.i-assist.jp/data/china/image_1882th/76283097.pdf","76283097")</f>
        <v>76283097</v>
      </c>
      <c r="F1905" s="6" t="s">
        <v>5267</v>
      </c>
      <c r="G1905" s="6" t="s">
        <v>5268</v>
      </c>
      <c r="H1905" s="8" t="s">
        <v>5269</v>
      </c>
      <c r="I1905" s="14">
        <v>45300</v>
      </c>
    </row>
    <row r="1906" spans="1:9" x14ac:dyDescent="0.15">
      <c r="A1906" s="5">
        <v>1905</v>
      </c>
      <c r="B1906" s="6" t="s">
        <v>9</v>
      </c>
      <c r="C1906" s="7">
        <v>1882</v>
      </c>
      <c r="D1906" s="8">
        <v>45388</v>
      </c>
      <c r="E1906" s="9" t="str">
        <f>+HYPERLINK("http://trademark.i-assist.jp/data/china/image_1882th/76283121.pdf","76283121")</f>
        <v>76283121</v>
      </c>
      <c r="F1906" s="6" t="s">
        <v>5270</v>
      </c>
      <c r="G1906" s="6" t="s">
        <v>3892</v>
      </c>
      <c r="H1906" s="8" t="s">
        <v>5271</v>
      </c>
      <c r="I1906" s="14">
        <v>45300</v>
      </c>
    </row>
    <row r="1907" spans="1:9" x14ac:dyDescent="0.15">
      <c r="A1907" s="5">
        <v>1906</v>
      </c>
      <c r="B1907" s="6" t="s">
        <v>9</v>
      </c>
      <c r="C1907" s="7">
        <v>1882</v>
      </c>
      <c r="D1907" s="8">
        <v>45388</v>
      </c>
      <c r="E1907" s="9" t="str">
        <f>+HYPERLINK("http://trademark.i-assist.jp/data/china/image_1882th/76283301.pdf","76283301")</f>
        <v>76283301</v>
      </c>
      <c r="F1907" s="6" t="s">
        <v>5272</v>
      </c>
      <c r="G1907" s="6" t="s">
        <v>5273</v>
      </c>
      <c r="H1907" s="8" t="s">
        <v>5274</v>
      </c>
      <c r="I1907" s="14">
        <v>45300</v>
      </c>
    </row>
    <row r="1908" spans="1:9" x14ac:dyDescent="0.15">
      <c r="A1908" s="5">
        <v>1907</v>
      </c>
      <c r="B1908" s="6" t="s">
        <v>9</v>
      </c>
      <c r="C1908" s="7">
        <v>1882</v>
      </c>
      <c r="D1908" s="8">
        <v>45388</v>
      </c>
      <c r="E1908" s="9" t="str">
        <f>+HYPERLINK("http://trademark.i-assist.jp/data/china/image_1882th/76283468.pdf","76283468")</f>
        <v>76283468</v>
      </c>
      <c r="F1908" s="6" t="s">
        <v>5275</v>
      </c>
      <c r="G1908" s="6" t="s">
        <v>5276</v>
      </c>
      <c r="H1908" s="8" t="s">
        <v>5277</v>
      </c>
      <c r="I1908" s="14">
        <v>45300</v>
      </c>
    </row>
    <row r="1909" spans="1:9" x14ac:dyDescent="0.15">
      <c r="A1909" s="5">
        <v>1908</v>
      </c>
      <c r="B1909" s="6" t="s">
        <v>9</v>
      </c>
      <c r="C1909" s="7">
        <v>1882</v>
      </c>
      <c r="D1909" s="8">
        <v>45388</v>
      </c>
      <c r="E1909" s="9" t="str">
        <f>+HYPERLINK("http://trademark.i-assist.jp/data/china/image_1882th/76284057.pdf","76284057")</f>
        <v>76284057</v>
      </c>
      <c r="F1909" s="6" t="s">
        <v>5278</v>
      </c>
      <c r="G1909" s="6" t="s">
        <v>5279</v>
      </c>
      <c r="H1909" s="8" t="s">
        <v>5280</v>
      </c>
      <c r="I1909" s="14">
        <v>45300</v>
      </c>
    </row>
    <row r="1910" spans="1:9" x14ac:dyDescent="0.15">
      <c r="A1910" s="5">
        <v>1909</v>
      </c>
      <c r="B1910" s="6" t="s">
        <v>9</v>
      </c>
      <c r="C1910" s="7">
        <v>1882</v>
      </c>
      <c r="D1910" s="8">
        <v>45388</v>
      </c>
      <c r="E1910" s="9" t="str">
        <f>+HYPERLINK("http://trademark.i-assist.jp/data/china/image_1882th/76284097.pdf","76284097")</f>
        <v>76284097</v>
      </c>
      <c r="F1910" s="6" t="s">
        <v>5281</v>
      </c>
      <c r="G1910" s="6" t="s">
        <v>5282</v>
      </c>
      <c r="H1910" s="8" t="s">
        <v>5283</v>
      </c>
      <c r="I1910" s="14">
        <v>45300</v>
      </c>
    </row>
    <row r="1911" spans="1:9" x14ac:dyDescent="0.15">
      <c r="A1911" s="5">
        <v>1910</v>
      </c>
      <c r="B1911" s="6" t="s">
        <v>9</v>
      </c>
      <c r="C1911" s="7">
        <v>1882</v>
      </c>
      <c r="D1911" s="8">
        <v>45388</v>
      </c>
      <c r="E1911" s="9" t="str">
        <f>+HYPERLINK("http://trademark.i-assist.jp/data/china/image_1882th/76284130.pdf","76284130")</f>
        <v>76284130</v>
      </c>
      <c r="F1911" s="6" t="s">
        <v>5284</v>
      </c>
      <c r="G1911" s="6" t="s">
        <v>5282</v>
      </c>
      <c r="H1911" s="8" t="s">
        <v>5285</v>
      </c>
      <c r="I1911" s="14">
        <v>45300</v>
      </c>
    </row>
    <row r="1912" spans="1:9" x14ac:dyDescent="0.15">
      <c r="A1912" s="5">
        <v>1911</v>
      </c>
      <c r="B1912" s="6" t="s">
        <v>9</v>
      </c>
      <c r="C1912" s="7">
        <v>1882</v>
      </c>
      <c r="D1912" s="8">
        <v>45388</v>
      </c>
      <c r="E1912" s="9" t="str">
        <f>+HYPERLINK("http://trademark.i-assist.jp/data/china/image_1882th/76284131.pdf","76284131")</f>
        <v>76284131</v>
      </c>
      <c r="F1912" s="6" t="s">
        <v>5286</v>
      </c>
      <c r="G1912" s="6" t="s">
        <v>5287</v>
      </c>
      <c r="H1912" s="8" t="s">
        <v>5288</v>
      </c>
      <c r="I1912" s="14">
        <v>45300</v>
      </c>
    </row>
    <row r="1913" spans="1:9" x14ac:dyDescent="0.15">
      <c r="A1913" s="5">
        <v>1912</v>
      </c>
      <c r="B1913" s="6" t="s">
        <v>9</v>
      </c>
      <c r="C1913" s="7">
        <v>1882</v>
      </c>
      <c r="D1913" s="8">
        <v>45388</v>
      </c>
      <c r="E1913" s="9" t="str">
        <f>+HYPERLINK("http://trademark.i-assist.jp/data/china/image_1882th/76284197.pdf","76284197")</f>
        <v>76284197</v>
      </c>
      <c r="F1913" s="6" t="s">
        <v>5289</v>
      </c>
      <c r="G1913" s="6" t="s">
        <v>5290</v>
      </c>
      <c r="H1913" s="8" t="s">
        <v>5291</v>
      </c>
      <c r="I1913" s="14">
        <v>45300</v>
      </c>
    </row>
    <row r="1914" spans="1:9" x14ac:dyDescent="0.15">
      <c r="A1914" s="5">
        <v>1913</v>
      </c>
      <c r="B1914" s="6" t="s">
        <v>9</v>
      </c>
      <c r="C1914" s="7">
        <v>1882</v>
      </c>
      <c r="D1914" s="8">
        <v>45388</v>
      </c>
      <c r="E1914" s="9" t="str">
        <f>+HYPERLINK("http://trademark.i-assist.jp/data/china/image_1882th/76284267.pdf","76284267")</f>
        <v>76284267</v>
      </c>
      <c r="F1914" s="6" t="s">
        <v>5292</v>
      </c>
      <c r="G1914" s="6" t="s">
        <v>5293</v>
      </c>
      <c r="H1914" s="8" t="s">
        <v>5294</v>
      </c>
      <c r="I1914" s="14">
        <v>45300</v>
      </c>
    </row>
    <row r="1915" spans="1:9" x14ac:dyDescent="0.15">
      <c r="A1915" s="5">
        <v>1914</v>
      </c>
      <c r="B1915" s="6" t="s">
        <v>9</v>
      </c>
      <c r="C1915" s="7">
        <v>1882</v>
      </c>
      <c r="D1915" s="8">
        <v>45388</v>
      </c>
      <c r="E1915" s="9" t="str">
        <f>+HYPERLINK("http://trademark.i-assist.jp/data/china/image_1882th/76284368.pdf","76284368")</f>
        <v>76284368</v>
      </c>
      <c r="F1915" s="6" t="s">
        <v>5295</v>
      </c>
      <c r="G1915" s="6" t="s">
        <v>5296</v>
      </c>
      <c r="H1915" s="8" t="s">
        <v>5297</v>
      </c>
      <c r="I1915" s="14">
        <v>45300</v>
      </c>
    </row>
    <row r="1916" spans="1:9" x14ac:dyDescent="0.15">
      <c r="A1916" s="5">
        <v>1915</v>
      </c>
      <c r="B1916" s="6" t="s">
        <v>9</v>
      </c>
      <c r="C1916" s="7">
        <v>1882</v>
      </c>
      <c r="D1916" s="8">
        <v>45388</v>
      </c>
      <c r="E1916" s="9" t="str">
        <f>+HYPERLINK("http://trademark.i-assist.jp/data/china/image_1882th/76284792.pdf","76284792")</f>
        <v>76284792</v>
      </c>
      <c r="F1916" s="6" t="s">
        <v>5298</v>
      </c>
      <c r="G1916" s="6" t="s">
        <v>5299</v>
      </c>
      <c r="H1916" s="8" t="s">
        <v>5300</v>
      </c>
      <c r="I1916" s="14">
        <v>45300</v>
      </c>
    </row>
    <row r="1917" spans="1:9" x14ac:dyDescent="0.15">
      <c r="A1917" s="5">
        <v>1916</v>
      </c>
      <c r="B1917" s="6" t="s">
        <v>9</v>
      </c>
      <c r="C1917" s="7">
        <v>1882</v>
      </c>
      <c r="D1917" s="8">
        <v>45388</v>
      </c>
      <c r="E1917" s="9" t="str">
        <f>+HYPERLINK("http://trademark.i-assist.jp/data/china/image_1882th/76284869.pdf","76284869")</f>
        <v>76284869</v>
      </c>
      <c r="F1917" s="6" t="s">
        <v>5301</v>
      </c>
      <c r="G1917" s="6" t="s">
        <v>5087</v>
      </c>
      <c r="H1917" s="8" t="s">
        <v>5302</v>
      </c>
      <c r="I1917" s="14">
        <v>45300</v>
      </c>
    </row>
    <row r="1918" spans="1:9" x14ac:dyDescent="0.15">
      <c r="A1918" s="5">
        <v>1917</v>
      </c>
      <c r="B1918" s="6" t="s">
        <v>9</v>
      </c>
      <c r="C1918" s="7">
        <v>1882</v>
      </c>
      <c r="D1918" s="8">
        <v>45388</v>
      </c>
      <c r="E1918" s="9" t="str">
        <f>+HYPERLINK("http://trademark.i-assist.jp/data/china/image_1882th/76284921.pdf","76284921")</f>
        <v>76284921</v>
      </c>
      <c r="F1918" s="6" t="s">
        <v>5303</v>
      </c>
      <c r="G1918" s="6" t="s">
        <v>5304</v>
      </c>
      <c r="H1918" s="8" t="s">
        <v>5305</v>
      </c>
      <c r="I1918" s="14">
        <v>45300</v>
      </c>
    </row>
    <row r="1919" spans="1:9" x14ac:dyDescent="0.15">
      <c r="A1919" s="5">
        <v>1918</v>
      </c>
      <c r="B1919" s="6" t="s">
        <v>9</v>
      </c>
      <c r="C1919" s="7">
        <v>1882</v>
      </c>
      <c r="D1919" s="8">
        <v>45388</v>
      </c>
      <c r="E1919" s="9" t="str">
        <f>+HYPERLINK("http://trademark.i-assist.jp/data/china/image_1882th/76284923.pdf","76284923")</f>
        <v>76284923</v>
      </c>
      <c r="F1919" s="6" t="s">
        <v>5306</v>
      </c>
      <c r="G1919" s="6" t="s">
        <v>5307</v>
      </c>
      <c r="H1919" s="8" t="s">
        <v>5308</v>
      </c>
      <c r="I1919" s="14">
        <v>45300</v>
      </c>
    </row>
    <row r="1920" spans="1:9" x14ac:dyDescent="0.15">
      <c r="A1920" s="5">
        <v>1919</v>
      </c>
      <c r="B1920" s="6" t="s">
        <v>9</v>
      </c>
      <c r="C1920" s="7">
        <v>1882</v>
      </c>
      <c r="D1920" s="8">
        <v>45388</v>
      </c>
      <c r="E1920" s="9" t="str">
        <f>+HYPERLINK("http://trademark.i-assist.jp/data/china/image_1882th/76285052.pdf","76285052")</f>
        <v>76285052</v>
      </c>
      <c r="F1920" s="6" t="s">
        <v>26</v>
      </c>
      <c r="G1920" s="6" t="s">
        <v>5309</v>
      </c>
      <c r="H1920" s="8" t="s">
        <v>5310</v>
      </c>
      <c r="I1920" s="14">
        <v>45300</v>
      </c>
    </row>
    <row r="1921" spans="1:9" x14ac:dyDescent="0.15">
      <c r="A1921" s="5">
        <v>1920</v>
      </c>
      <c r="B1921" s="6" t="s">
        <v>9</v>
      </c>
      <c r="C1921" s="7">
        <v>1882</v>
      </c>
      <c r="D1921" s="8">
        <v>45388</v>
      </c>
      <c r="E1921" s="9" t="str">
        <f>+HYPERLINK("http://trademark.i-assist.jp/data/china/image_1882th/76285124.pdf","76285124")</f>
        <v>76285124</v>
      </c>
      <c r="F1921" s="6" t="s">
        <v>5311</v>
      </c>
      <c r="G1921" s="6" t="s">
        <v>4955</v>
      </c>
      <c r="H1921" s="8" t="s">
        <v>5312</v>
      </c>
      <c r="I1921" s="14">
        <v>45300</v>
      </c>
    </row>
    <row r="1922" spans="1:9" x14ac:dyDescent="0.15">
      <c r="A1922" s="5">
        <v>1921</v>
      </c>
      <c r="B1922" s="6" t="s">
        <v>9</v>
      </c>
      <c r="C1922" s="7">
        <v>1882</v>
      </c>
      <c r="D1922" s="8">
        <v>45388</v>
      </c>
      <c r="E1922" s="9" t="str">
        <f>+HYPERLINK("http://trademark.i-assist.jp/data/china/image_1882th/76285126.pdf","76285126")</f>
        <v>76285126</v>
      </c>
      <c r="F1922" s="6" t="s">
        <v>5313</v>
      </c>
      <c r="G1922" s="6" t="s">
        <v>5314</v>
      </c>
      <c r="H1922" s="8" t="s">
        <v>5315</v>
      </c>
      <c r="I1922" s="14">
        <v>45300</v>
      </c>
    </row>
    <row r="1923" spans="1:9" x14ac:dyDescent="0.15">
      <c r="A1923" s="5">
        <v>1922</v>
      </c>
      <c r="B1923" s="6" t="s">
        <v>9</v>
      </c>
      <c r="C1923" s="7">
        <v>1882</v>
      </c>
      <c r="D1923" s="8">
        <v>45388</v>
      </c>
      <c r="E1923" s="9" t="str">
        <f>+HYPERLINK("http://trademark.i-assist.jp/data/china/image_1882th/76285262.pdf","76285262")</f>
        <v>76285262</v>
      </c>
      <c r="F1923" s="6" t="s">
        <v>5316</v>
      </c>
      <c r="G1923" s="6" t="s">
        <v>4964</v>
      </c>
      <c r="H1923" s="8" t="s">
        <v>5317</v>
      </c>
      <c r="I1923" s="14">
        <v>45300</v>
      </c>
    </row>
    <row r="1924" spans="1:9" x14ac:dyDescent="0.15">
      <c r="A1924" s="5">
        <v>1923</v>
      </c>
      <c r="B1924" s="6" t="s">
        <v>9</v>
      </c>
      <c r="C1924" s="7">
        <v>1882</v>
      </c>
      <c r="D1924" s="8">
        <v>45388</v>
      </c>
      <c r="E1924" s="9" t="str">
        <f>+HYPERLINK("http://trademark.i-assist.jp/data/china/image_1882th/76285297.pdf","76285297")</f>
        <v>76285297</v>
      </c>
      <c r="F1924" s="6" t="s">
        <v>26</v>
      </c>
      <c r="G1924" s="6" t="s">
        <v>5318</v>
      </c>
      <c r="H1924" s="8" t="s">
        <v>5319</v>
      </c>
      <c r="I1924" s="14">
        <v>45300</v>
      </c>
    </row>
    <row r="1925" spans="1:9" x14ac:dyDescent="0.15">
      <c r="A1925" s="5">
        <v>1924</v>
      </c>
      <c r="B1925" s="6" t="s">
        <v>9</v>
      </c>
      <c r="C1925" s="7">
        <v>1882</v>
      </c>
      <c r="D1925" s="8">
        <v>45388</v>
      </c>
      <c r="E1925" s="9" t="str">
        <f>+HYPERLINK("http://trademark.i-assist.jp/data/china/image_1882th/76285486.pdf","76285486")</f>
        <v>76285486</v>
      </c>
      <c r="F1925" s="6" t="s">
        <v>5320</v>
      </c>
      <c r="G1925" s="6" t="s">
        <v>5321</v>
      </c>
      <c r="H1925" s="8" t="s">
        <v>5322</v>
      </c>
      <c r="I1925" s="14">
        <v>45300</v>
      </c>
    </row>
    <row r="1926" spans="1:9" x14ac:dyDescent="0.15">
      <c r="A1926" s="5">
        <v>1925</v>
      </c>
      <c r="B1926" s="6" t="s">
        <v>9</v>
      </c>
      <c r="C1926" s="7">
        <v>1882</v>
      </c>
      <c r="D1926" s="8">
        <v>45388</v>
      </c>
      <c r="E1926" s="9" t="str">
        <f>+HYPERLINK("http://trademark.i-assist.jp/data/china/image_1882th/76285639.pdf","76285639")</f>
        <v>76285639</v>
      </c>
      <c r="F1926" s="6" t="s">
        <v>5323</v>
      </c>
      <c r="G1926" s="6" t="s">
        <v>5324</v>
      </c>
      <c r="H1926" s="8" t="s">
        <v>5325</v>
      </c>
      <c r="I1926" s="14">
        <v>45300</v>
      </c>
    </row>
    <row r="1927" spans="1:9" x14ac:dyDescent="0.15">
      <c r="A1927" s="5">
        <v>1926</v>
      </c>
      <c r="B1927" s="6" t="s">
        <v>9</v>
      </c>
      <c r="C1927" s="7">
        <v>1882</v>
      </c>
      <c r="D1927" s="8">
        <v>45388</v>
      </c>
      <c r="E1927" s="9" t="str">
        <f>+HYPERLINK("http://trademark.i-assist.jp/data/china/image_1882th/76285666.pdf","76285666")</f>
        <v>76285666</v>
      </c>
      <c r="F1927" s="6" t="s">
        <v>26</v>
      </c>
      <c r="G1927" s="6" t="s">
        <v>5326</v>
      </c>
      <c r="H1927" s="8" t="s">
        <v>5327</v>
      </c>
      <c r="I1927" s="14">
        <v>45300</v>
      </c>
    </row>
    <row r="1928" spans="1:9" x14ac:dyDescent="0.15">
      <c r="A1928" s="5">
        <v>1927</v>
      </c>
      <c r="B1928" s="6" t="s">
        <v>9</v>
      </c>
      <c r="C1928" s="7">
        <v>1882</v>
      </c>
      <c r="D1928" s="8">
        <v>45388</v>
      </c>
      <c r="E1928" s="9" t="str">
        <f>+HYPERLINK("http://trademark.i-assist.jp/data/china/image_1882th/76285681.pdf","76285681")</f>
        <v>76285681</v>
      </c>
      <c r="F1928" s="6" t="s">
        <v>5328</v>
      </c>
      <c r="G1928" s="6" t="s">
        <v>5329</v>
      </c>
      <c r="H1928" s="8" t="s">
        <v>5330</v>
      </c>
      <c r="I1928" s="14">
        <v>45300</v>
      </c>
    </row>
    <row r="1929" spans="1:9" x14ac:dyDescent="0.15">
      <c r="A1929" s="5">
        <v>1928</v>
      </c>
      <c r="B1929" s="6" t="s">
        <v>9</v>
      </c>
      <c r="C1929" s="7">
        <v>1882</v>
      </c>
      <c r="D1929" s="8">
        <v>45388</v>
      </c>
      <c r="E1929" s="9" t="str">
        <f>+HYPERLINK("http://trademark.i-assist.jp/data/china/image_1882th/76285752.pdf","76285752")</f>
        <v>76285752</v>
      </c>
      <c r="F1929" s="6" t="s">
        <v>5331</v>
      </c>
      <c r="G1929" s="6" t="s">
        <v>5332</v>
      </c>
      <c r="H1929" s="8" t="s">
        <v>5333</v>
      </c>
      <c r="I1929" s="14">
        <v>45300</v>
      </c>
    </row>
    <row r="1930" spans="1:9" x14ac:dyDescent="0.15">
      <c r="A1930" s="5">
        <v>1929</v>
      </c>
      <c r="B1930" s="6" t="s">
        <v>9</v>
      </c>
      <c r="C1930" s="7">
        <v>1882</v>
      </c>
      <c r="D1930" s="8">
        <v>45388</v>
      </c>
      <c r="E1930" s="9" t="str">
        <f>+HYPERLINK("http://trademark.i-assist.jp/data/china/image_1882th/76285946.pdf","76285946")</f>
        <v>76285946</v>
      </c>
      <c r="F1930" s="6" t="s">
        <v>5334</v>
      </c>
      <c r="G1930" s="6" t="s">
        <v>5335</v>
      </c>
      <c r="H1930" s="8" t="s">
        <v>5336</v>
      </c>
      <c r="I1930" s="14">
        <v>45300</v>
      </c>
    </row>
    <row r="1931" spans="1:9" x14ac:dyDescent="0.15">
      <c r="A1931" s="5">
        <v>1930</v>
      </c>
      <c r="B1931" s="6" t="s">
        <v>9</v>
      </c>
      <c r="C1931" s="7">
        <v>1882</v>
      </c>
      <c r="D1931" s="8">
        <v>45388</v>
      </c>
      <c r="E1931" s="9" t="str">
        <f>+HYPERLINK("http://trademark.i-assist.jp/data/china/image_1882th/76286060.pdf","76286060")</f>
        <v>76286060</v>
      </c>
      <c r="F1931" s="6" t="s">
        <v>5337</v>
      </c>
      <c r="G1931" s="6" t="s">
        <v>4955</v>
      </c>
      <c r="H1931" s="8" t="s">
        <v>5338</v>
      </c>
      <c r="I1931" s="14">
        <v>45300</v>
      </c>
    </row>
    <row r="1932" spans="1:9" x14ac:dyDescent="0.15">
      <c r="A1932" s="5">
        <v>1931</v>
      </c>
      <c r="B1932" s="6" t="s">
        <v>9</v>
      </c>
      <c r="C1932" s="7">
        <v>1882</v>
      </c>
      <c r="D1932" s="8">
        <v>45388</v>
      </c>
      <c r="E1932" s="9" t="str">
        <f>+HYPERLINK("http://trademark.i-assist.jp/data/china/image_1882th/76286215.pdf","76286215")</f>
        <v>76286215</v>
      </c>
      <c r="F1932" s="6" t="s">
        <v>5339</v>
      </c>
      <c r="G1932" s="6" t="s">
        <v>5340</v>
      </c>
      <c r="H1932" s="8" t="s">
        <v>5341</v>
      </c>
      <c r="I1932" s="14">
        <v>45300</v>
      </c>
    </row>
    <row r="1933" spans="1:9" x14ac:dyDescent="0.15">
      <c r="A1933" s="5">
        <v>1932</v>
      </c>
      <c r="B1933" s="6" t="s">
        <v>9</v>
      </c>
      <c r="C1933" s="7">
        <v>1882</v>
      </c>
      <c r="D1933" s="8">
        <v>45388</v>
      </c>
      <c r="E1933" s="9" t="str">
        <f>+HYPERLINK("http://trademark.i-assist.jp/data/china/image_1882th/76286291.pdf","76286291")</f>
        <v>76286291</v>
      </c>
      <c r="F1933" s="6" t="s">
        <v>5342</v>
      </c>
      <c r="G1933" s="6" t="s">
        <v>5343</v>
      </c>
      <c r="H1933" s="8" t="s">
        <v>5344</v>
      </c>
      <c r="I1933" s="14">
        <v>45300</v>
      </c>
    </row>
    <row r="1934" spans="1:9" x14ac:dyDescent="0.15">
      <c r="A1934" s="5">
        <v>1933</v>
      </c>
      <c r="B1934" s="6" t="s">
        <v>9</v>
      </c>
      <c r="C1934" s="7">
        <v>1882</v>
      </c>
      <c r="D1934" s="8">
        <v>45388</v>
      </c>
      <c r="E1934" s="9" t="str">
        <f>+HYPERLINK("http://trademark.i-assist.jp/data/china/image_1882th/76286723.pdf","76286723")</f>
        <v>76286723</v>
      </c>
      <c r="F1934" s="6" t="s">
        <v>5345</v>
      </c>
      <c r="G1934" s="6" t="s">
        <v>5033</v>
      </c>
      <c r="H1934" s="8" t="s">
        <v>5346</v>
      </c>
      <c r="I1934" s="14">
        <v>45300</v>
      </c>
    </row>
    <row r="1935" spans="1:9" x14ac:dyDescent="0.15">
      <c r="A1935" s="5">
        <v>1934</v>
      </c>
      <c r="B1935" s="6" t="s">
        <v>9</v>
      </c>
      <c r="C1935" s="7">
        <v>1882</v>
      </c>
      <c r="D1935" s="8">
        <v>45388</v>
      </c>
      <c r="E1935" s="9" t="str">
        <f>+HYPERLINK("http://trademark.i-assist.jp/data/china/image_1882th/76286842.pdf","76286842")</f>
        <v>76286842</v>
      </c>
      <c r="F1935" s="6" t="s">
        <v>5347</v>
      </c>
      <c r="G1935" s="6" t="s">
        <v>4969</v>
      </c>
      <c r="H1935" s="8" t="s">
        <v>5348</v>
      </c>
      <c r="I1935" s="14">
        <v>45300</v>
      </c>
    </row>
    <row r="1936" spans="1:9" x14ac:dyDescent="0.15">
      <c r="A1936" s="5">
        <v>1935</v>
      </c>
      <c r="B1936" s="6" t="s">
        <v>9</v>
      </c>
      <c r="C1936" s="7">
        <v>1882</v>
      </c>
      <c r="D1936" s="8">
        <v>45388</v>
      </c>
      <c r="E1936" s="9" t="str">
        <f>+HYPERLINK("http://trademark.i-assist.jp/data/china/image_1882th/76286858.pdf","76286858")</f>
        <v>76286858</v>
      </c>
      <c r="F1936" s="6" t="s">
        <v>26</v>
      </c>
      <c r="G1936" s="6" t="s">
        <v>5349</v>
      </c>
      <c r="H1936" s="8" t="s">
        <v>5350</v>
      </c>
      <c r="I1936" s="14">
        <v>45300</v>
      </c>
    </row>
    <row r="1937" spans="1:9" x14ac:dyDescent="0.15">
      <c r="A1937" s="5">
        <v>1936</v>
      </c>
      <c r="B1937" s="6" t="s">
        <v>9</v>
      </c>
      <c r="C1937" s="7">
        <v>1882</v>
      </c>
      <c r="D1937" s="8">
        <v>45388</v>
      </c>
      <c r="E1937" s="9" t="str">
        <f>+HYPERLINK("http://trademark.i-assist.jp/data/china/image_1882th/76287386.pdf","76287386")</f>
        <v>76287386</v>
      </c>
      <c r="F1937" s="6" t="s">
        <v>5351</v>
      </c>
      <c r="G1937" s="6" t="s">
        <v>3743</v>
      </c>
      <c r="H1937" s="8" t="s">
        <v>5352</v>
      </c>
      <c r="I1937" s="14">
        <v>45300</v>
      </c>
    </row>
    <row r="1938" spans="1:9" x14ac:dyDescent="0.15">
      <c r="A1938" s="5">
        <v>1937</v>
      </c>
      <c r="B1938" s="6" t="s">
        <v>9</v>
      </c>
      <c r="C1938" s="7">
        <v>1882</v>
      </c>
      <c r="D1938" s="8">
        <v>45388</v>
      </c>
      <c r="E1938" s="9" t="str">
        <f>+HYPERLINK("http://trademark.i-assist.jp/data/china/image_1882th/76287405.pdf","76287405")</f>
        <v>76287405</v>
      </c>
      <c r="F1938" s="6" t="s">
        <v>5353</v>
      </c>
      <c r="G1938" s="6" t="s">
        <v>5354</v>
      </c>
      <c r="H1938" s="8" t="s">
        <v>5355</v>
      </c>
      <c r="I1938" s="14">
        <v>45300</v>
      </c>
    </row>
    <row r="1939" spans="1:9" x14ac:dyDescent="0.15">
      <c r="A1939" s="5">
        <v>1938</v>
      </c>
      <c r="B1939" s="6" t="s">
        <v>9</v>
      </c>
      <c r="C1939" s="7">
        <v>1882</v>
      </c>
      <c r="D1939" s="8">
        <v>45388</v>
      </c>
      <c r="E1939" s="9" t="str">
        <f>+HYPERLINK("http://trademark.i-assist.jp/data/china/image_1882th/76287516.pdf","76287516")</f>
        <v>76287516</v>
      </c>
      <c r="F1939" s="6" t="s">
        <v>5356</v>
      </c>
      <c r="G1939" s="6" t="s">
        <v>5357</v>
      </c>
      <c r="H1939" s="8" t="s">
        <v>5358</v>
      </c>
      <c r="I1939" s="14">
        <v>45300</v>
      </c>
    </row>
    <row r="1940" spans="1:9" x14ac:dyDescent="0.15">
      <c r="A1940" s="5">
        <v>1939</v>
      </c>
      <c r="B1940" s="6" t="s">
        <v>9</v>
      </c>
      <c r="C1940" s="7">
        <v>1882</v>
      </c>
      <c r="D1940" s="8">
        <v>45388</v>
      </c>
      <c r="E1940" s="9" t="str">
        <f>+HYPERLINK("http://trademark.i-assist.jp/data/china/image_1882th/76287821.pdf","76287821")</f>
        <v>76287821</v>
      </c>
      <c r="F1940" s="6" t="s">
        <v>5359</v>
      </c>
      <c r="G1940" s="6" t="s">
        <v>5360</v>
      </c>
      <c r="H1940" s="8" t="s">
        <v>5361</v>
      </c>
      <c r="I1940" s="14">
        <v>45300</v>
      </c>
    </row>
    <row r="1941" spans="1:9" x14ac:dyDescent="0.15">
      <c r="A1941" s="5">
        <v>1940</v>
      </c>
      <c r="B1941" s="6" t="s">
        <v>9</v>
      </c>
      <c r="C1941" s="7">
        <v>1882</v>
      </c>
      <c r="D1941" s="8">
        <v>45388</v>
      </c>
      <c r="E1941" s="9" t="str">
        <f>+HYPERLINK("http://trademark.i-assist.jp/data/china/image_1882th/76288084.pdf","76288084")</f>
        <v>76288084</v>
      </c>
      <c r="F1941" s="6" t="s">
        <v>5362</v>
      </c>
      <c r="G1941" s="6" t="s">
        <v>5363</v>
      </c>
      <c r="H1941" s="8" t="s">
        <v>5364</v>
      </c>
      <c r="I1941" s="14">
        <v>45300</v>
      </c>
    </row>
    <row r="1942" spans="1:9" x14ac:dyDescent="0.15">
      <c r="A1942" s="5">
        <v>1941</v>
      </c>
      <c r="B1942" s="6" t="s">
        <v>9</v>
      </c>
      <c r="C1942" s="7">
        <v>1882</v>
      </c>
      <c r="D1942" s="8">
        <v>45388</v>
      </c>
      <c r="E1942" s="9" t="str">
        <f>+HYPERLINK("http://trademark.i-assist.jp/data/china/image_1882th/76288234.pdf","76288234")</f>
        <v>76288234</v>
      </c>
      <c r="F1942" s="6" t="s">
        <v>5365</v>
      </c>
      <c r="G1942" s="6" t="s">
        <v>5366</v>
      </c>
      <c r="H1942" s="8" t="s">
        <v>5367</v>
      </c>
      <c r="I1942" s="14">
        <v>45300</v>
      </c>
    </row>
    <row r="1943" spans="1:9" x14ac:dyDescent="0.15">
      <c r="A1943" s="5">
        <v>1942</v>
      </c>
      <c r="B1943" s="6" t="s">
        <v>9</v>
      </c>
      <c r="C1943" s="7">
        <v>1882</v>
      </c>
      <c r="D1943" s="8">
        <v>45388</v>
      </c>
      <c r="E1943" s="9" t="str">
        <f>+HYPERLINK("http://trademark.i-assist.jp/data/china/image_1882th/76288381.pdf","76288381")</f>
        <v>76288381</v>
      </c>
      <c r="F1943" s="6" t="s">
        <v>5368</v>
      </c>
      <c r="G1943" s="6" t="s">
        <v>5369</v>
      </c>
      <c r="H1943" s="8" t="s">
        <v>5370</v>
      </c>
      <c r="I1943" s="14">
        <v>45300</v>
      </c>
    </row>
    <row r="1944" spans="1:9" x14ac:dyDescent="0.15">
      <c r="A1944" s="5">
        <v>1943</v>
      </c>
      <c r="B1944" s="6" t="s">
        <v>9</v>
      </c>
      <c r="C1944" s="7">
        <v>1882</v>
      </c>
      <c r="D1944" s="8">
        <v>45388</v>
      </c>
      <c r="E1944" s="9" t="str">
        <f>+HYPERLINK("http://trademark.i-assist.jp/data/china/image_1882th/76288410.pdf","76288410")</f>
        <v>76288410</v>
      </c>
      <c r="F1944" s="6" t="s">
        <v>5371</v>
      </c>
      <c r="G1944" s="6" t="s">
        <v>5002</v>
      </c>
      <c r="H1944" s="8" t="s">
        <v>5372</v>
      </c>
      <c r="I1944" s="14">
        <v>45300</v>
      </c>
    </row>
    <row r="1945" spans="1:9" x14ac:dyDescent="0.15">
      <c r="A1945" s="5">
        <v>1944</v>
      </c>
      <c r="B1945" s="6" t="s">
        <v>9</v>
      </c>
      <c r="C1945" s="7">
        <v>1882</v>
      </c>
      <c r="D1945" s="8">
        <v>45388</v>
      </c>
      <c r="E1945" s="9" t="str">
        <f>+HYPERLINK("http://trademark.i-assist.jp/data/china/image_1882th/76288707.pdf","76288707")</f>
        <v>76288707</v>
      </c>
      <c r="F1945" s="6" t="s">
        <v>5373</v>
      </c>
      <c r="G1945" s="6" t="s">
        <v>5374</v>
      </c>
      <c r="H1945" s="8" t="s">
        <v>5375</v>
      </c>
      <c r="I1945" s="14">
        <v>45300</v>
      </c>
    </row>
    <row r="1946" spans="1:9" x14ac:dyDescent="0.15">
      <c r="A1946" s="5">
        <v>1945</v>
      </c>
      <c r="B1946" s="6" t="s">
        <v>9</v>
      </c>
      <c r="C1946" s="7">
        <v>1882</v>
      </c>
      <c r="D1946" s="8">
        <v>45388</v>
      </c>
      <c r="E1946" s="9" t="str">
        <f>+HYPERLINK("http://trademark.i-assist.jp/data/china/image_1882th/76288718.pdf","76288718")</f>
        <v>76288718</v>
      </c>
      <c r="F1946" s="6" t="s">
        <v>5376</v>
      </c>
      <c r="G1946" s="6" t="s">
        <v>5374</v>
      </c>
      <c r="H1946" s="8" t="s">
        <v>5377</v>
      </c>
      <c r="I1946" s="14">
        <v>45300</v>
      </c>
    </row>
    <row r="1947" spans="1:9" x14ac:dyDescent="0.15">
      <c r="A1947" s="5">
        <v>1946</v>
      </c>
      <c r="B1947" s="6" t="s">
        <v>9</v>
      </c>
      <c r="C1947" s="7">
        <v>1882</v>
      </c>
      <c r="D1947" s="8">
        <v>45388</v>
      </c>
      <c r="E1947" s="9" t="str">
        <f>+HYPERLINK("http://trademark.i-assist.jp/data/china/image_1882th/76288812.pdf","76288812")</f>
        <v>76288812</v>
      </c>
      <c r="F1947" s="6" t="s">
        <v>5378</v>
      </c>
      <c r="G1947" s="6" t="s">
        <v>4915</v>
      </c>
      <c r="H1947" s="8" t="s">
        <v>5379</v>
      </c>
      <c r="I1947" s="14">
        <v>45300</v>
      </c>
    </row>
    <row r="1948" spans="1:9" x14ac:dyDescent="0.15">
      <c r="A1948" s="5">
        <v>1947</v>
      </c>
      <c r="B1948" s="6" t="s">
        <v>9</v>
      </c>
      <c r="C1948" s="7">
        <v>1882</v>
      </c>
      <c r="D1948" s="8">
        <v>45388</v>
      </c>
      <c r="E1948" s="9" t="str">
        <f>+HYPERLINK("http://trademark.i-assist.jp/data/china/image_1882th/76289064.pdf","76289064")</f>
        <v>76289064</v>
      </c>
      <c r="F1948" s="6" t="s">
        <v>5380</v>
      </c>
      <c r="G1948" s="6" t="s">
        <v>5381</v>
      </c>
      <c r="H1948" s="8" t="s">
        <v>5382</v>
      </c>
      <c r="I1948" s="14">
        <v>45300</v>
      </c>
    </row>
    <row r="1949" spans="1:9" x14ac:dyDescent="0.15">
      <c r="A1949" s="5">
        <v>1948</v>
      </c>
      <c r="B1949" s="6" t="s">
        <v>9</v>
      </c>
      <c r="C1949" s="7">
        <v>1882</v>
      </c>
      <c r="D1949" s="8">
        <v>45388</v>
      </c>
      <c r="E1949" s="9" t="str">
        <f>+HYPERLINK("http://trademark.i-assist.jp/data/china/image_1882th/76289121.pdf","76289121")</f>
        <v>76289121</v>
      </c>
      <c r="F1949" s="6" t="s">
        <v>5383</v>
      </c>
      <c r="G1949" s="6" t="s">
        <v>5384</v>
      </c>
      <c r="H1949" s="8" t="s">
        <v>5385</v>
      </c>
      <c r="I1949" s="14">
        <v>45300</v>
      </c>
    </row>
    <row r="1950" spans="1:9" x14ac:dyDescent="0.15">
      <c r="A1950" s="5">
        <v>1949</v>
      </c>
      <c r="B1950" s="6" t="s">
        <v>9</v>
      </c>
      <c r="C1950" s="7">
        <v>1882</v>
      </c>
      <c r="D1950" s="8">
        <v>45388</v>
      </c>
      <c r="E1950" s="9" t="str">
        <f>+HYPERLINK("http://trademark.i-assist.jp/data/china/image_1882th/76289347.pdf","76289347")</f>
        <v>76289347</v>
      </c>
      <c r="F1950" s="6" t="s">
        <v>26</v>
      </c>
      <c r="G1950" s="6" t="s">
        <v>5386</v>
      </c>
      <c r="H1950" s="8" t="s">
        <v>5387</v>
      </c>
      <c r="I1950" s="14">
        <v>45300</v>
      </c>
    </row>
    <row r="1951" spans="1:9" x14ac:dyDescent="0.15">
      <c r="A1951" s="5">
        <v>1950</v>
      </c>
      <c r="B1951" s="6" t="s">
        <v>9</v>
      </c>
      <c r="C1951" s="7">
        <v>1882</v>
      </c>
      <c r="D1951" s="8">
        <v>45388</v>
      </c>
      <c r="E1951" s="9" t="str">
        <f>+HYPERLINK("http://trademark.i-assist.jp/data/china/image_1882th/76289384.pdf","76289384")</f>
        <v>76289384</v>
      </c>
      <c r="F1951" s="6" t="s">
        <v>5388</v>
      </c>
      <c r="G1951" s="6" t="s">
        <v>5389</v>
      </c>
      <c r="H1951" s="8" t="s">
        <v>5390</v>
      </c>
      <c r="I1951" s="14">
        <v>45300</v>
      </c>
    </row>
    <row r="1952" spans="1:9" x14ac:dyDescent="0.15">
      <c r="A1952" s="5">
        <v>1951</v>
      </c>
      <c r="B1952" s="6" t="s">
        <v>9</v>
      </c>
      <c r="C1952" s="7">
        <v>1882</v>
      </c>
      <c r="D1952" s="8">
        <v>45388</v>
      </c>
      <c r="E1952" s="9" t="str">
        <f>+HYPERLINK("http://trademark.i-assist.jp/data/china/image_1882th/76289721.pdf","76289721")</f>
        <v>76289721</v>
      </c>
      <c r="F1952" s="6" t="s">
        <v>26</v>
      </c>
      <c r="G1952" s="6" t="s">
        <v>5391</v>
      </c>
      <c r="H1952" s="8" t="s">
        <v>5392</v>
      </c>
      <c r="I1952" s="14">
        <v>45300</v>
      </c>
    </row>
    <row r="1953" spans="1:9" x14ac:dyDescent="0.15">
      <c r="A1953" s="5">
        <v>1952</v>
      </c>
      <c r="B1953" s="6" t="s">
        <v>9</v>
      </c>
      <c r="C1953" s="7">
        <v>1882</v>
      </c>
      <c r="D1953" s="8">
        <v>45388</v>
      </c>
      <c r="E1953" s="9" t="str">
        <f>+HYPERLINK("http://trademark.i-assist.jp/data/china/image_1882th/76289807.pdf","76289807")</f>
        <v>76289807</v>
      </c>
      <c r="F1953" s="6" t="s">
        <v>5393</v>
      </c>
      <c r="G1953" s="6" t="s">
        <v>5128</v>
      </c>
      <c r="H1953" s="8" t="s">
        <v>5394</v>
      </c>
      <c r="I1953" s="14">
        <v>45300</v>
      </c>
    </row>
    <row r="1954" spans="1:9" x14ac:dyDescent="0.15">
      <c r="A1954" s="5">
        <v>1953</v>
      </c>
      <c r="B1954" s="6" t="s">
        <v>9</v>
      </c>
      <c r="C1954" s="7">
        <v>1882</v>
      </c>
      <c r="D1954" s="8">
        <v>45388</v>
      </c>
      <c r="E1954" s="9" t="str">
        <f>+HYPERLINK("http://trademark.i-assist.jp/data/china/image_1882th/76290000.pdf","76290000")</f>
        <v>76290000</v>
      </c>
      <c r="F1954" s="6" t="s">
        <v>5395</v>
      </c>
      <c r="G1954" s="6" t="s">
        <v>5396</v>
      </c>
      <c r="H1954" s="8" t="s">
        <v>5397</v>
      </c>
      <c r="I1954" s="14">
        <v>45300</v>
      </c>
    </row>
    <row r="1955" spans="1:9" x14ac:dyDescent="0.15">
      <c r="A1955" s="5">
        <v>1954</v>
      </c>
      <c r="B1955" s="6" t="s">
        <v>9</v>
      </c>
      <c r="C1955" s="7">
        <v>1882</v>
      </c>
      <c r="D1955" s="8">
        <v>45388</v>
      </c>
      <c r="E1955" s="9" t="str">
        <f>+HYPERLINK("http://trademark.i-assist.jp/data/china/image_1882th/76290125.pdf","76290125")</f>
        <v>76290125</v>
      </c>
      <c r="F1955" s="6" t="s">
        <v>5398</v>
      </c>
      <c r="G1955" s="6" t="s">
        <v>4984</v>
      </c>
      <c r="H1955" s="8" t="s">
        <v>5399</v>
      </c>
      <c r="I1955" s="14">
        <v>45300</v>
      </c>
    </row>
    <row r="1956" spans="1:9" x14ac:dyDescent="0.15">
      <c r="A1956" s="5">
        <v>1955</v>
      </c>
      <c r="B1956" s="6" t="s">
        <v>9</v>
      </c>
      <c r="C1956" s="7">
        <v>1882</v>
      </c>
      <c r="D1956" s="8">
        <v>45388</v>
      </c>
      <c r="E1956" s="9" t="str">
        <f>+HYPERLINK("http://trademark.i-assist.jp/data/china/image_1882th/76290224.pdf","76290224")</f>
        <v>76290224</v>
      </c>
      <c r="F1956" s="6" t="s">
        <v>5400</v>
      </c>
      <c r="G1956" s="6" t="s">
        <v>5162</v>
      </c>
      <c r="H1956" s="8" t="s">
        <v>5401</v>
      </c>
      <c r="I1956" s="14">
        <v>45300</v>
      </c>
    </row>
    <row r="1957" spans="1:9" x14ac:dyDescent="0.15">
      <c r="A1957" s="5">
        <v>1956</v>
      </c>
      <c r="B1957" s="6" t="s">
        <v>9</v>
      </c>
      <c r="C1957" s="7">
        <v>1882</v>
      </c>
      <c r="D1957" s="8">
        <v>45388</v>
      </c>
      <c r="E1957" s="9" t="str">
        <f>+HYPERLINK("http://trademark.i-assist.jp/data/china/image_1882th/76290370.pdf","76290370")</f>
        <v>76290370</v>
      </c>
      <c r="F1957" s="6" t="s">
        <v>5402</v>
      </c>
      <c r="G1957" s="6" t="s">
        <v>5403</v>
      </c>
      <c r="H1957" s="8" t="s">
        <v>5404</v>
      </c>
      <c r="I1957" s="14">
        <v>45300</v>
      </c>
    </row>
    <row r="1958" spans="1:9" x14ac:dyDescent="0.15">
      <c r="A1958" s="5">
        <v>1957</v>
      </c>
      <c r="B1958" s="6" t="s">
        <v>9</v>
      </c>
      <c r="C1958" s="7">
        <v>1882</v>
      </c>
      <c r="D1958" s="8">
        <v>45388</v>
      </c>
      <c r="E1958" s="9" t="str">
        <f>+HYPERLINK("http://trademark.i-assist.jp/data/china/image_1882th/76290472.pdf","76290472")</f>
        <v>76290472</v>
      </c>
      <c r="F1958" s="6" t="s">
        <v>5405</v>
      </c>
      <c r="G1958" s="6" t="s">
        <v>5242</v>
      </c>
      <c r="H1958" s="8" t="s">
        <v>5406</v>
      </c>
      <c r="I1958" s="14">
        <v>45300</v>
      </c>
    </row>
    <row r="1959" spans="1:9" x14ac:dyDescent="0.15">
      <c r="A1959" s="5">
        <v>1958</v>
      </c>
      <c r="B1959" s="6" t="s">
        <v>9</v>
      </c>
      <c r="C1959" s="7">
        <v>1882</v>
      </c>
      <c r="D1959" s="8">
        <v>45388</v>
      </c>
      <c r="E1959" s="9" t="str">
        <f>+HYPERLINK("http://trademark.i-assist.jp/data/china/image_1882th/76290697.pdf","76290697")</f>
        <v>76290697</v>
      </c>
      <c r="F1959" s="6" t="s">
        <v>5407</v>
      </c>
      <c r="G1959" s="6" t="s">
        <v>5046</v>
      </c>
      <c r="H1959" s="8" t="s">
        <v>5408</v>
      </c>
      <c r="I1959" s="14">
        <v>45300</v>
      </c>
    </row>
    <row r="1960" spans="1:9" x14ac:dyDescent="0.15">
      <c r="A1960" s="5">
        <v>1959</v>
      </c>
      <c r="B1960" s="6" t="s">
        <v>9</v>
      </c>
      <c r="C1960" s="7">
        <v>1882</v>
      </c>
      <c r="D1960" s="8">
        <v>45388</v>
      </c>
      <c r="E1960" s="9" t="str">
        <f>+HYPERLINK("http://trademark.i-assist.jp/data/china/image_1882th/76290818.pdf","76290818")</f>
        <v>76290818</v>
      </c>
      <c r="F1960" s="6" t="s">
        <v>5409</v>
      </c>
      <c r="G1960" s="6" t="s">
        <v>5410</v>
      </c>
      <c r="H1960" s="8" t="s">
        <v>5411</v>
      </c>
      <c r="I1960" s="14">
        <v>45300</v>
      </c>
    </row>
    <row r="1961" spans="1:9" x14ac:dyDescent="0.15">
      <c r="A1961" s="5">
        <v>1960</v>
      </c>
      <c r="B1961" s="6" t="s">
        <v>9</v>
      </c>
      <c r="C1961" s="7">
        <v>1882</v>
      </c>
      <c r="D1961" s="8">
        <v>45388</v>
      </c>
      <c r="E1961" s="9" t="str">
        <f>+HYPERLINK("http://trademark.i-assist.jp/data/china/image_1882th/76290841.pdf","76290841")</f>
        <v>76290841</v>
      </c>
      <c r="F1961" s="6" t="s">
        <v>5412</v>
      </c>
      <c r="G1961" s="6" t="s">
        <v>5413</v>
      </c>
      <c r="H1961" s="8" t="s">
        <v>5414</v>
      </c>
      <c r="I1961" s="14">
        <v>45300</v>
      </c>
    </row>
    <row r="1962" spans="1:9" x14ac:dyDescent="0.15">
      <c r="A1962" s="5">
        <v>1961</v>
      </c>
      <c r="B1962" s="6" t="s">
        <v>9</v>
      </c>
      <c r="C1962" s="7">
        <v>1882</v>
      </c>
      <c r="D1962" s="8">
        <v>45388</v>
      </c>
      <c r="E1962" s="9" t="str">
        <f>+HYPERLINK("http://trademark.i-assist.jp/data/china/image_1882th/76291132.pdf","76291132")</f>
        <v>76291132</v>
      </c>
      <c r="F1962" s="6" t="s">
        <v>5415</v>
      </c>
      <c r="G1962" s="6" t="s">
        <v>5416</v>
      </c>
      <c r="H1962" s="8" t="s">
        <v>5417</v>
      </c>
      <c r="I1962" s="14">
        <v>45300</v>
      </c>
    </row>
    <row r="1963" spans="1:9" x14ac:dyDescent="0.15">
      <c r="A1963" s="5">
        <v>1962</v>
      </c>
      <c r="B1963" s="6" t="s">
        <v>9</v>
      </c>
      <c r="C1963" s="7">
        <v>1882</v>
      </c>
      <c r="D1963" s="8">
        <v>45388</v>
      </c>
      <c r="E1963" s="9" t="str">
        <f>+HYPERLINK("http://trademark.i-assist.jp/data/china/image_1882th/76291320.pdf","76291320")</f>
        <v>76291320</v>
      </c>
      <c r="F1963" s="6" t="s">
        <v>5418</v>
      </c>
      <c r="G1963" s="6" t="s">
        <v>5419</v>
      </c>
      <c r="H1963" s="8" t="s">
        <v>5420</v>
      </c>
      <c r="I1963" s="14">
        <v>45300</v>
      </c>
    </row>
    <row r="1964" spans="1:9" x14ac:dyDescent="0.15">
      <c r="A1964" s="5">
        <v>1963</v>
      </c>
      <c r="B1964" s="6" t="s">
        <v>9</v>
      </c>
      <c r="C1964" s="7">
        <v>1882</v>
      </c>
      <c r="D1964" s="8">
        <v>45388</v>
      </c>
      <c r="E1964" s="9" t="str">
        <f>+HYPERLINK("http://trademark.i-assist.jp/data/china/image_1882th/76291410.pdf","76291410")</f>
        <v>76291410</v>
      </c>
      <c r="F1964" s="6" t="s">
        <v>5421</v>
      </c>
      <c r="G1964" s="6" t="s">
        <v>5422</v>
      </c>
      <c r="H1964" s="8" t="s">
        <v>5423</v>
      </c>
      <c r="I1964" s="14">
        <v>45300</v>
      </c>
    </row>
    <row r="1965" spans="1:9" x14ac:dyDescent="0.15">
      <c r="A1965" s="5">
        <v>1964</v>
      </c>
      <c r="B1965" s="6" t="s">
        <v>9</v>
      </c>
      <c r="C1965" s="7">
        <v>1882</v>
      </c>
      <c r="D1965" s="8">
        <v>45388</v>
      </c>
      <c r="E1965" s="9" t="str">
        <f>+HYPERLINK("http://trademark.i-assist.jp/data/china/image_1882th/76291439.pdf","76291439")</f>
        <v>76291439</v>
      </c>
      <c r="F1965" s="6" t="s">
        <v>26</v>
      </c>
      <c r="G1965" s="6" t="s">
        <v>5424</v>
      </c>
      <c r="H1965" s="8" t="s">
        <v>5425</v>
      </c>
      <c r="I1965" s="14">
        <v>45300</v>
      </c>
    </row>
    <row r="1966" spans="1:9" x14ac:dyDescent="0.15">
      <c r="A1966" s="5">
        <v>1965</v>
      </c>
      <c r="B1966" s="6" t="s">
        <v>9</v>
      </c>
      <c r="C1966" s="7">
        <v>1882</v>
      </c>
      <c r="D1966" s="8">
        <v>45388</v>
      </c>
      <c r="E1966" s="9" t="str">
        <f>+HYPERLINK("http://trademark.i-assist.jp/data/china/image_1882th/76291525.pdf","76291525")</f>
        <v>76291525</v>
      </c>
      <c r="F1966" s="6" t="s">
        <v>5426</v>
      </c>
      <c r="G1966" s="6" t="s">
        <v>5427</v>
      </c>
      <c r="H1966" s="8" t="s">
        <v>5428</v>
      </c>
      <c r="I1966" s="14">
        <v>45300</v>
      </c>
    </row>
    <row r="1967" spans="1:9" x14ac:dyDescent="0.15">
      <c r="A1967" s="5">
        <v>1966</v>
      </c>
      <c r="B1967" s="6" t="s">
        <v>9</v>
      </c>
      <c r="C1967" s="7">
        <v>1882</v>
      </c>
      <c r="D1967" s="8">
        <v>45388</v>
      </c>
      <c r="E1967" s="9" t="str">
        <f>+HYPERLINK("http://trademark.i-assist.jp/data/china/image_1882th/76291529.pdf","76291529")</f>
        <v>76291529</v>
      </c>
      <c r="F1967" s="6" t="s">
        <v>5429</v>
      </c>
      <c r="G1967" s="6" t="s">
        <v>5430</v>
      </c>
      <c r="H1967" s="8" t="s">
        <v>5431</v>
      </c>
      <c r="I1967" s="14">
        <v>45300</v>
      </c>
    </row>
    <row r="1968" spans="1:9" x14ac:dyDescent="0.15">
      <c r="A1968" s="5">
        <v>1967</v>
      </c>
      <c r="B1968" s="6" t="s">
        <v>9</v>
      </c>
      <c r="C1968" s="7">
        <v>1882</v>
      </c>
      <c r="D1968" s="8">
        <v>45388</v>
      </c>
      <c r="E1968" s="9" t="str">
        <f>+HYPERLINK("http://trademark.i-assist.jp/data/china/image_1882th/76291603.pdf","76291603")</f>
        <v>76291603</v>
      </c>
      <c r="F1968" s="6" t="s">
        <v>5432</v>
      </c>
      <c r="G1968" s="6" t="s">
        <v>5432</v>
      </c>
      <c r="H1968" s="8" t="s">
        <v>5433</v>
      </c>
      <c r="I1968" s="14">
        <v>45300</v>
      </c>
    </row>
    <row r="1969" spans="1:9" x14ac:dyDescent="0.15">
      <c r="A1969" s="5">
        <v>1968</v>
      </c>
      <c r="B1969" s="6" t="s">
        <v>9</v>
      </c>
      <c r="C1969" s="7">
        <v>1882</v>
      </c>
      <c r="D1969" s="8">
        <v>45388</v>
      </c>
      <c r="E1969" s="9" t="str">
        <f>+HYPERLINK("http://trademark.i-assist.jp/data/china/image_1882th/76291642.pdf","76291642")</f>
        <v>76291642</v>
      </c>
      <c r="F1969" s="6" t="s">
        <v>26</v>
      </c>
      <c r="G1969" s="6" t="s">
        <v>5434</v>
      </c>
      <c r="H1969" s="8" t="s">
        <v>5435</v>
      </c>
      <c r="I1969" s="14">
        <v>45300</v>
      </c>
    </row>
    <row r="1970" spans="1:9" x14ac:dyDescent="0.15">
      <c r="A1970" s="5">
        <v>1969</v>
      </c>
      <c r="B1970" s="6" t="s">
        <v>9</v>
      </c>
      <c r="C1970" s="7">
        <v>1882</v>
      </c>
      <c r="D1970" s="8">
        <v>45388</v>
      </c>
      <c r="E1970" s="9" t="str">
        <f>+HYPERLINK("http://trademark.i-assist.jp/data/china/image_1882th/76291698.pdf","76291698")</f>
        <v>76291698</v>
      </c>
      <c r="F1970" s="6" t="s">
        <v>5436</v>
      </c>
      <c r="G1970" s="6" t="s">
        <v>5437</v>
      </c>
      <c r="H1970" s="8" t="s">
        <v>5438</v>
      </c>
      <c r="I1970" s="14">
        <v>45300</v>
      </c>
    </row>
    <row r="1971" spans="1:9" x14ac:dyDescent="0.15">
      <c r="A1971" s="5">
        <v>1970</v>
      </c>
      <c r="B1971" s="6" t="s">
        <v>9</v>
      </c>
      <c r="C1971" s="7">
        <v>1882</v>
      </c>
      <c r="D1971" s="8">
        <v>45388</v>
      </c>
      <c r="E1971" s="9" t="str">
        <f>+HYPERLINK("http://trademark.i-assist.jp/data/china/image_1882th/76291783.pdf","76291783")</f>
        <v>76291783</v>
      </c>
      <c r="F1971" s="6" t="s">
        <v>5439</v>
      </c>
      <c r="G1971" s="6" t="s">
        <v>5343</v>
      </c>
      <c r="H1971" s="8" t="s">
        <v>5440</v>
      </c>
      <c r="I1971" s="14">
        <v>45300</v>
      </c>
    </row>
    <row r="1972" spans="1:9" x14ac:dyDescent="0.15">
      <c r="A1972" s="5">
        <v>1971</v>
      </c>
      <c r="B1972" s="6" t="s">
        <v>9</v>
      </c>
      <c r="C1972" s="7">
        <v>1882</v>
      </c>
      <c r="D1972" s="8">
        <v>45388</v>
      </c>
      <c r="E1972" s="9" t="str">
        <f>+HYPERLINK("http://trademark.i-assist.jp/data/china/image_1882th/76292150.pdf","76292150")</f>
        <v>76292150</v>
      </c>
      <c r="F1972" s="6" t="s">
        <v>5441</v>
      </c>
      <c r="G1972" s="6" t="s">
        <v>5442</v>
      </c>
      <c r="H1972" s="8" t="s">
        <v>5443</v>
      </c>
      <c r="I1972" s="14">
        <v>45300</v>
      </c>
    </row>
    <row r="1973" spans="1:9" x14ac:dyDescent="0.15">
      <c r="A1973" s="5">
        <v>1972</v>
      </c>
      <c r="B1973" s="6" t="s">
        <v>9</v>
      </c>
      <c r="C1973" s="7">
        <v>1882</v>
      </c>
      <c r="D1973" s="8">
        <v>45388</v>
      </c>
      <c r="E1973" s="9" t="str">
        <f>+HYPERLINK("http://trademark.i-assist.jp/data/china/image_1882th/76292192.pdf","76292192")</f>
        <v>76292192</v>
      </c>
      <c r="F1973" s="6" t="s">
        <v>5444</v>
      </c>
      <c r="G1973" s="6" t="s">
        <v>5445</v>
      </c>
      <c r="H1973" s="8" t="s">
        <v>5446</v>
      </c>
      <c r="I1973" s="14">
        <v>45300</v>
      </c>
    </row>
    <row r="1974" spans="1:9" x14ac:dyDescent="0.15">
      <c r="A1974" s="5">
        <v>1973</v>
      </c>
      <c r="B1974" s="6" t="s">
        <v>9</v>
      </c>
      <c r="C1974" s="7">
        <v>1882</v>
      </c>
      <c r="D1974" s="8">
        <v>45388</v>
      </c>
      <c r="E1974" s="9" t="str">
        <f>+HYPERLINK("http://trademark.i-assist.jp/data/china/image_1882th/76292229.pdf","76292229")</f>
        <v>76292229</v>
      </c>
      <c r="F1974" s="6" t="s">
        <v>5447</v>
      </c>
      <c r="G1974" s="6" t="s">
        <v>5448</v>
      </c>
      <c r="H1974" s="8" t="s">
        <v>5449</v>
      </c>
      <c r="I1974" s="14">
        <v>45300</v>
      </c>
    </row>
    <row r="1975" spans="1:9" x14ac:dyDescent="0.15">
      <c r="A1975" s="5">
        <v>1974</v>
      </c>
      <c r="B1975" s="6" t="s">
        <v>9</v>
      </c>
      <c r="C1975" s="7">
        <v>1882</v>
      </c>
      <c r="D1975" s="8">
        <v>45388</v>
      </c>
      <c r="E1975" s="9" t="str">
        <f>+HYPERLINK("http://trademark.i-assist.jp/data/china/image_1882th/76292445.pdf","76292445")</f>
        <v>76292445</v>
      </c>
      <c r="F1975" s="6" t="s">
        <v>5450</v>
      </c>
      <c r="G1975" s="6" t="s">
        <v>5451</v>
      </c>
      <c r="H1975" s="8" t="s">
        <v>5452</v>
      </c>
      <c r="I1975" s="14">
        <v>45300</v>
      </c>
    </row>
    <row r="1976" spans="1:9" x14ac:dyDescent="0.15">
      <c r="A1976" s="5">
        <v>1975</v>
      </c>
      <c r="B1976" s="6" t="s">
        <v>9</v>
      </c>
      <c r="C1976" s="7">
        <v>1882</v>
      </c>
      <c r="D1976" s="8">
        <v>45388</v>
      </c>
      <c r="E1976" s="9" t="str">
        <f>+HYPERLINK("http://trademark.i-assist.jp/data/china/image_1882th/76292815.pdf","76292815")</f>
        <v>76292815</v>
      </c>
      <c r="F1976" s="6" t="s">
        <v>5453</v>
      </c>
      <c r="G1976" s="6" t="s">
        <v>5454</v>
      </c>
      <c r="H1976" s="8" t="s">
        <v>5455</v>
      </c>
      <c r="I1976" s="14">
        <v>45300</v>
      </c>
    </row>
    <row r="1977" spans="1:9" x14ac:dyDescent="0.15">
      <c r="A1977" s="5">
        <v>1976</v>
      </c>
      <c r="B1977" s="6" t="s">
        <v>9</v>
      </c>
      <c r="C1977" s="7">
        <v>1882</v>
      </c>
      <c r="D1977" s="8">
        <v>45388</v>
      </c>
      <c r="E1977" s="9" t="str">
        <f>+HYPERLINK("http://trademark.i-assist.jp/data/china/image_1882th/76292924.pdf","76292924")</f>
        <v>76292924</v>
      </c>
      <c r="F1977" s="6" t="s">
        <v>5456</v>
      </c>
      <c r="G1977" s="6" t="s">
        <v>5457</v>
      </c>
      <c r="H1977" s="8" t="s">
        <v>5458</v>
      </c>
      <c r="I1977" s="14">
        <v>45301</v>
      </c>
    </row>
    <row r="1978" spans="1:9" x14ac:dyDescent="0.15">
      <c r="A1978" s="5">
        <v>1977</v>
      </c>
      <c r="B1978" s="6" t="s">
        <v>9</v>
      </c>
      <c r="C1978" s="7">
        <v>1882</v>
      </c>
      <c r="D1978" s="8">
        <v>45388</v>
      </c>
      <c r="E1978" s="9" t="str">
        <f>+HYPERLINK("http://trademark.i-assist.jp/data/china/image_1882th/76292942.pdf","76292942")</f>
        <v>76292942</v>
      </c>
      <c r="F1978" s="6" t="s">
        <v>5459</v>
      </c>
      <c r="G1978" s="6" t="s">
        <v>5460</v>
      </c>
      <c r="H1978" s="8" t="s">
        <v>5461</v>
      </c>
      <c r="I1978" s="14">
        <v>45301</v>
      </c>
    </row>
    <row r="1979" spans="1:9" x14ac:dyDescent="0.15">
      <c r="A1979" s="5">
        <v>1978</v>
      </c>
      <c r="B1979" s="6" t="s">
        <v>9</v>
      </c>
      <c r="C1979" s="7">
        <v>1882</v>
      </c>
      <c r="D1979" s="8">
        <v>45388</v>
      </c>
      <c r="E1979" s="9" t="str">
        <f>+HYPERLINK("http://trademark.i-assist.jp/data/china/image_1882th/76293060.pdf","76293060")</f>
        <v>76293060</v>
      </c>
      <c r="F1979" s="6" t="s">
        <v>5462</v>
      </c>
      <c r="G1979" s="6" t="s">
        <v>5463</v>
      </c>
      <c r="H1979" s="8" t="s">
        <v>5464</v>
      </c>
      <c r="I1979" s="14">
        <v>45301</v>
      </c>
    </row>
    <row r="1980" spans="1:9" x14ac:dyDescent="0.15">
      <c r="A1980" s="5">
        <v>1979</v>
      </c>
      <c r="B1980" s="6" t="s">
        <v>9</v>
      </c>
      <c r="C1980" s="7">
        <v>1882</v>
      </c>
      <c r="D1980" s="8">
        <v>45388</v>
      </c>
      <c r="E1980" s="9" t="str">
        <f>+HYPERLINK("http://trademark.i-assist.jp/data/china/image_1882th/76293420.pdf","76293420")</f>
        <v>76293420</v>
      </c>
      <c r="F1980" s="6" t="s">
        <v>5465</v>
      </c>
      <c r="G1980" s="6" t="s">
        <v>5466</v>
      </c>
      <c r="H1980" s="8" t="s">
        <v>5467</v>
      </c>
      <c r="I1980" s="14">
        <v>45301</v>
      </c>
    </row>
    <row r="1981" spans="1:9" x14ac:dyDescent="0.15">
      <c r="A1981" s="5">
        <v>1980</v>
      </c>
      <c r="B1981" s="6" t="s">
        <v>9</v>
      </c>
      <c r="C1981" s="7">
        <v>1882</v>
      </c>
      <c r="D1981" s="8">
        <v>45388</v>
      </c>
      <c r="E1981" s="9" t="str">
        <f>+HYPERLINK("http://trademark.i-assist.jp/data/china/image_1882th/76293539.pdf","76293539")</f>
        <v>76293539</v>
      </c>
      <c r="F1981" s="6" t="s">
        <v>5468</v>
      </c>
      <c r="G1981" s="6" t="s">
        <v>5469</v>
      </c>
      <c r="H1981" s="8" t="s">
        <v>5470</v>
      </c>
      <c r="I1981" s="14">
        <v>45301</v>
      </c>
    </row>
    <row r="1982" spans="1:9" x14ac:dyDescent="0.15">
      <c r="A1982" s="5">
        <v>1981</v>
      </c>
      <c r="B1982" s="6" t="s">
        <v>9</v>
      </c>
      <c r="C1982" s="7">
        <v>1882</v>
      </c>
      <c r="D1982" s="8">
        <v>45388</v>
      </c>
      <c r="E1982" s="9" t="str">
        <f>+HYPERLINK("http://trademark.i-assist.jp/data/china/image_1882th/76293655.pdf","76293655")</f>
        <v>76293655</v>
      </c>
      <c r="F1982" s="6" t="s">
        <v>5471</v>
      </c>
      <c r="G1982" s="6" t="s">
        <v>5472</v>
      </c>
      <c r="H1982" s="8" t="s">
        <v>5473</v>
      </c>
      <c r="I1982" s="14">
        <v>45301</v>
      </c>
    </row>
    <row r="1983" spans="1:9" x14ac:dyDescent="0.15">
      <c r="A1983" s="5">
        <v>1982</v>
      </c>
      <c r="B1983" s="6" t="s">
        <v>9</v>
      </c>
      <c r="C1983" s="7">
        <v>1882</v>
      </c>
      <c r="D1983" s="8">
        <v>45388</v>
      </c>
      <c r="E1983" s="9" t="str">
        <f>+HYPERLINK("http://trademark.i-assist.jp/data/china/image_1882th/76293716.pdf","76293716")</f>
        <v>76293716</v>
      </c>
      <c r="F1983" s="6" t="s">
        <v>5474</v>
      </c>
      <c r="G1983" s="6" t="s">
        <v>5475</v>
      </c>
      <c r="H1983" s="8" t="s">
        <v>5476</v>
      </c>
      <c r="I1983" s="14">
        <v>45301</v>
      </c>
    </row>
    <row r="1984" spans="1:9" x14ac:dyDescent="0.15">
      <c r="A1984" s="5">
        <v>1983</v>
      </c>
      <c r="B1984" s="6" t="s">
        <v>9</v>
      </c>
      <c r="C1984" s="7">
        <v>1882</v>
      </c>
      <c r="D1984" s="8">
        <v>45388</v>
      </c>
      <c r="E1984" s="9" t="str">
        <f>+HYPERLINK("http://trademark.i-assist.jp/data/china/image_1882th/76293934.pdf","76293934")</f>
        <v>76293934</v>
      </c>
      <c r="F1984" s="6" t="s">
        <v>5477</v>
      </c>
      <c r="G1984" s="6" t="s">
        <v>5478</v>
      </c>
      <c r="H1984" s="8" t="s">
        <v>5479</v>
      </c>
      <c r="I1984" s="14">
        <v>45301</v>
      </c>
    </row>
    <row r="1985" spans="1:9" x14ac:dyDescent="0.15">
      <c r="A1985" s="5">
        <v>1984</v>
      </c>
      <c r="B1985" s="6" t="s">
        <v>9</v>
      </c>
      <c r="C1985" s="7">
        <v>1882</v>
      </c>
      <c r="D1985" s="8">
        <v>45388</v>
      </c>
      <c r="E1985" s="9" t="str">
        <f>+HYPERLINK("http://trademark.i-assist.jp/data/china/image_1882th/76294037.pdf","76294037")</f>
        <v>76294037</v>
      </c>
      <c r="F1985" s="6" t="s">
        <v>5480</v>
      </c>
      <c r="G1985" s="6" t="s">
        <v>5481</v>
      </c>
      <c r="H1985" s="8" t="s">
        <v>5482</v>
      </c>
      <c r="I1985" s="14">
        <v>45301</v>
      </c>
    </row>
    <row r="1986" spans="1:9" x14ac:dyDescent="0.15">
      <c r="A1986" s="5">
        <v>1985</v>
      </c>
      <c r="B1986" s="6" t="s">
        <v>9</v>
      </c>
      <c r="C1986" s="7">
        <v>1882</v>
      </c>
      <c r="D1986" s="8">
        <v>45388</v>
      </c>
      <c r="E1986" s="9" t="str">
        <f>+HYPERLINK("http://trademark.i-assist.jp/data/china/image_1882th/76294126.pdf","76294126")</f>
        <v>76294126</v>
      </c>
      <c r="F1986" s="6" t="s">
        <v>5483</v>
      </c>
      <c r="G1986" s="6" t="s">
        <v>5484</v>
      </c>
      <c r="H1986" s="8" t="s">
        <v>5485</v>
      </c>
      <c r="I1986" s="14">
        <v>45301</v>
      </c>
    </row>
    <row r="1987" spans="1:9" x14ac:dyDescent="0.15">
      <c r="A1987" s="5">
        <v>1986</v>
      </c>
      <c r="B1987" s="6" t="s">
        <v>9</v>
      </c>
      <c r="C1987" s="7">
        <v>1882</v>
      </c>
      <c r="D1987" s="8">
        <v>45388</v>
      </c>
      <c r="E1987" s="9" t="str">
        <f>+HYPERLINK("http://trademark.i-assist.jp/data/china/image_1882th/76294161.pdf","76294161")</f>
        <v>76294161</v>
      </c>
      <c r="F1987" s="6" t="s">
        <v>5486</v>
      </c>
      <c r="G1987" s="6" t="s">
        <v>5487</v>
      </c>
      <c r="H1987" s="8" t="s">
        <v>5488</v>
      </c>
      <c r="I1987" s="14">
        <v>45301</v>
      </c>
    </row>
    <row r="1988" spans="1:9" x14ac:dyDescent="0.15">
      <c r="A1988" s="5">
        <v>1987</v>
      </c>
      <c r="B1988" s="6" t="s">
        <v>9</v>
      </c>
      <c r="C1988" s="7">
        <v>1882</v>
      </c>
      <c r="D1988" s="8">
        <v>45388</v>
      </c>
      <c r="E1988" s="9" t="str">
        <f>+HYPERLINK("http://trademark.i-assist.jp/data/china/image_1882th/76294167.pdf","76294167")</f>
        <v>76294167</v>
      </c>
      <c r="F1988" s="6" t="s">
        <v>5489</v>
      </c>
      <c r="G1988" s="6" t="s">
        <v>5490</v>
      </c>
      <c r="H1988" s="8" t="s">
        <v>5491</v>
      </c>
      <c r="I1988" s="14">
        <v>45301</v>
      </c>
    </row>
    <row r="1989" spans="1:9" x14ac:dyDescent="0.15">
      <c r="A1989" s="5">
        <v>1988</v>
      </c>
      <c r="B1989" s="6" t="s">
        <v>9</v>
      </c>
      <c r="C1989" s="7">
        <v>1882</v>
      </c>
      <c r="D1989" s="8">
        <v>45388</v>
      </c>
      <c r="E1989" s="9" t="str">
        <f>+HYPERLINK("http://trademark.i-assist.jp/data/china/image_1882th/76294195.pdf","76294195")</f>
        <v>76294195</v>
      </c>
      <c r="F1989" s="6" t="s">
        <v>5492</v>
      </c>
      <c r="G1989" s="6" t="s">
        <v>5493</v>
      </c>
      <c r="H1989" s="8" t="s">
        <v>5494</v>
      </c>
      <c r="I1989" s="14">
        <v>45301</v>
      </c>
    </row>
    <row r="1990" spans="1:9" x14ac:dyDescent="0.15">
      <c r="A1990" s="5">
        <v>1989</v>
      </c>
      <c r="B1990" s="6" t="s">
        <v>9</v>
      </c>
      <c r="C1990" s="7">
        <v>1882</v>
      </c>
      <c r="D1990" s="8">
        <v>45388</v>
      </c>
      <c r="E1990" s="9" t="str">
        <f>+HYPERLINK("http://trademark.i-assist.jp/data/china/image_1882th/76294211.pdf","76294211")</f>
        <v>76294211</v>
      </c>
      <c r="F1990" s="6" t="s">
        <v>5495</v>
      </c>
      <c r="G1990" s="6" t="s">
        <v>5496</v>
      </c>
      <c r="H1990" s="8" t="s">
        <v>5497</v>
      </c>
      <c r="I1990" s="14">
        <v>45301</v>
      </c>
    </row>
    <row r="1991" spans="1:9" x14ac:dyDescent="0.15">
      <c r="A1991" s="5">
        <v>1990</v>
      </c>
      <c r="B1991" s="6" t="s">
        <v>9</v>
      </c>
      <c r="C1991" s="7">
        <v>1882</v>
      </c>
      <c r="D1991" s="8">
        <v>45388</v>
      </c>
      <c r="E1991" s="9" t="str">
        <f>+HYPERLINK("http://trademark.i-assist.jp/data/china/image_1882th/76294437.pdf","76294437")</f>
        <v>76294437</v>
      </c>
      <c r="F1991" s="6" t="s">
        <v>5498</v>
      </c>
      <c r="G1991" s="6" t="s">
        <v>5499</v>
      </c>
      <c r="H1991" s="8" t="s">
        <v>5500</v>
      </c>
      <c r="I1991" s="14">
        <v>45301</v>
      </c>
    </row>
    <row r="1992" spans="1:9" x14ac:dyDescent="0.15">
      <c r="A1992" s="5">
        <v>1991</v>
      </c>
      <c r="B1992" s="6" t="s">
        <v>9</v>
      </c>
      <c r="C1992" s="7">
        <v>1882</v>
      </c>
      <c r="D1992" s="8">
        <v>45388</v>
      </c>
      <c r="E1992" s="9" t="str">
        <f>+HYPERLINK("http://trademark.i-assist.jp/data/china/image_1882th/76294442.pdf","76294442")</f>
        <v>76294442</v>
      </c>
      <c r="F1992" s="6" t="s">
        <v>5501</v>
      </c>
      <c r="G1992" s="6" t="s">
        <v>5499</v>
      </c>
      <c r="H1992" s="8" t="s">
        <v>5502</v>
      </c>
      <c r="I1992" s="14">
        <v>45301</v>
      </c>
    </row>
    <row r="1993" spans="1:9" x14ac:dyDescent="0.15">
      <c r="A1993" s="5">
        <v>1992</v>
      </c>
      <c r="B1993" s="6" t="s">
        <v>9</v>
      </c>
      <c r="C1993" s="7">
        <v>1882</v>
      </c>
      <c r="D1993" s="8">
        <v>45388</v>
      </c>
      <c r="E1993" s="9" t="str">
        <f>+HYPERLINK("http://trademark.i-assist.jp/data/china/image_1882th/76294633.pdf","76294633")</f>
        <v>76294633</v>
      </c>
      <c r="F1993" s="6" t="s">
        <v>5503</v>
      </c>
      <c r="G1993" s="6" t="s">
        <v>5504</v>
      </c>
      <c r="H1993" s="8" t="s">
        <v>5505</v>
      </c>
      <c r="I1993" s="14">
        <v>45301</v>
      </c>
    </row>
    <row r="1994" spans="1:9" x14ac:dyDescent="0.15">
      <c r="A1994" s="5">
        <v>1993</v>
      </c>
      <c r="B1994" s="6" t="s">
        <v>9</v>
      </c>
      <c r="C1994" s="7">
        <v>1882</v>
      </c>
      <c r="D1994" s="8">
        <v>45388</v>
      </c>
      <c r="E1994" s="9" t="str">
        <f>+HYPERLINK("http://trademark.i-assist.jp/data/china/image_1882th/76294640.pdf","76294640")</f>
        <v>76294640</v>
      </c>
      <c r="F1994" s="6" t="s">
        <v>5506</v>
      </c>
      <c r="G1994" s="6" t="s">
        <v>5504</v>
      </c>
      <c r="H1994" s="8" t="s">
        <v>5507</v>
      </c>
      <c r="I1994" s="14">
        <v>45301</v>
      </c>
    </row>
    <row r="1995" spans="1:9" x14ac:dyDescent="0.15">
      <c r="A1995" s="5">
        <v>1994</v>
      </c>
      <c r="B1995" s="6" t="s">
        <v>9</v>
      </c>
      <c r="C1995" s="7">
        <v>1882</v>
      </c>
      <c r="D1995" s="8">
        <v>45388</v>
      </c>
      <c r="E1995" s="9" t="str">
        <f>+HYPERLINK("http://trademark.i-assist.jp/data/china/image_1882th/76294667.pdf","76294667")</f>
        <v>76294667</v>
      </c>
      <c r="F1995" s="6" t="s">
        <v>5508</v>
      </c>
      <c r="G1995" s="6" t="s">
        <v>5509</v>
      </c>
      <c r="H1995" s="8" t="s">
        <v>5510</v>
      </c>
      <c r="I1995" s="14">
        <v>45301</v>
      </c>
    </row>
    <row r="1996" spans="1:9" x14ac:dyDescent="0.15">
      <c r="A1996" s="5">
        <v>1995</v>
      </c>
      <c r="B1996" s="6" t="s">
        <v>9</v>
      </c>
      <c r="C1996" s="7">
        <v>1882</v>
      </c>
      <c r="D1996" s="8">
        <v>45388</v>
      </c>
      <c r="E1996" s="9" t="str">
        <f>+HYPERLINK("http://trademark.i-assist.jp/data/china/image_1882th/76294808.pdf","76294808")</f>
        <v>76294808</v>
      </c>
      <c r="F1996" s="6" t="s">
        <v>5511</v>
      </c>
      <c r="G1996" s="6" t="s">
        <v>5512</v>
      </c>
      <c r="H1996" s="8" t="s">
        <v>5513</v>
      </c>
      <c r="I1996" s="14">
        <v>45301</v>
      </c>
    </row>
    <row r="1997" spans="1:9" x14ac:dyDescent="0.15">
      <c r="A1997" s="5">
        <v>1996</v>
      </c>
      <c r="B1997" s="6" t="s">
        <v>9</v>
      </c>
      <c r="C1997" s="7">
        <v>1882</v>
      </c>
      <c r="D1997" s="8">
        <v>45388</v>
      </c>
      <c r="E1997" s="9" t="str">
        <f>+HYPERLINK("http://trademark.i-assist.jp/data/china/image_1882th/76295020.pdf","76295020")</f>
        <v>76295020</v>
      </c>
      <c r="F1997" s="6" t="s">
        <v>5514</v>
      </c>
      <c r="G1997" s="6" t="s">
        <v>5515</v>
      </c>
      <c r="H1997" s="8" t="s">
        <v>5516</v>
      </c>
      <c r="I1997" s="14">
        <v>45301</v>
      </c>
    </row>
    <row r="1998" spans="1:9" x14ac:dyDescent="0.15">
      <c r="A1998" s="5">
        <v>1997</v>
      </c>
      <c r="B1998" s="6" t="s">
        <v>9</v>
      </c>
      <c r="C1998" s="7">
        <v>1882</v>
      </c>
      <c r="D1998" s="8">
        <v>45388</v>
      </c>
      <c r="E1998" s="9" t="str">
        <f>+HYPERLINK("http://trademark.i-assist.jp/data/china/image_1882th/76295069.pdf","76295069")</f>
        <v>76295069</v>
      </c>
      <c r="F1998" s="6" t="s">
        <v>5517</v>
      </c>
      <c r="G1998" s="6" t="s">
        <v>5518</v>
      </c>
      <c r="H1998" s="8" t="s">
        <v>5519</v>
      </c>
      <c r="I1998" s="14">
        <v>45301</v>
      </c>
    </row>
    <row r="1999" spans="1:9" x14ac:dyDescent="0.15">
      <c r="A1999" s="5">
        <v>1998</v>
      </c>
      <c r="B1999" s="6" t="s">
        <v>9</v>
      </c>
      <c r="C1999" s="7">
        <v>1882</v>
      </c>
      <c r="D1999" s="8">
        <v>45388</v>
      </c>
      <c r="E1999" s="9" t="str">
        <f>+HYPERLINK("http://trademark.i-assist.jp/data/china/image_1882th/76295080.pdf","76295080")</f>
        <v>76295080</v>
      </c>
      <c r="F1999" s="6" t="s">
        <v>5520</v>
      </c>
      <c r="G1999" s="6" t="s">
        <v>5521</v>
      </c>
      <c r="H1999" s="8" t="s">
        <v>5522</v>
      </c>
      <c r="I1999" s="14">
        <v>45301</v>
      </c>
    </row>
    <row r="2000" spans="1:9" x14ac:dyDescent="0.15">
      <c r="A2000" s="5">
        <v>1999</v>
      </c>
      <c r="B2000" s="6" t="s">
        <v>9</v>
      </c>
      <c r="C2000" s="7">
        <v>1882</v>
      </c>
      <c r="D2000" s="8">
        <v>45388</v>
      </c>
      <c r="E2000" s="9" t="str">
        <f>+HYPERLINK("http://trademark.i-assist.jp/data/china/image_1882th/76295169.pdf","76295169")</f>
        <v>76295169</v>
      </c>
      <c r="F2000" s="6" t="s">
        <v>5523</v>
      </c>
      <c r="G2000" s="6" t="s">
        <v>5524</v>
      </c>
      <c r="H2000" s="8" t="s">
        <v>5525</v>
      </c>
      <c r="I2000" s="14">
        <v>45301</v>
      </c>
    </row>
    <row r="2001" spans="1:9" x14ac:dyDescent="0.15">
      <c r="A2001" s="5">
        <v>2000</v>
      </c>
      <c r="B2001" s="6" t="s">
        <v>9</v>
      </c>
      <c r="C2001" s="7">
        <v>1882</v>
      </c>
      <c r="D2001" s="8">
        <v>45388</v>
      </c>
      <c r="E2001" s="9" t="str">
        <f>+HYPERLINK("http://trademark.i-assist.jp/data/china/image_1882th/76295268.pdf","76295268")</f>
        <v>76295268</v>
      </c>
      <c r="F2001" s="6" t="s">
        <v>5526</v>
      </c>
      <c r="G2001" s="6" t="s">
        <v>5527</v>
      </c>
      <c r="H2001" s="8" t="s">
        <v>5528</v>
      </c>
      <c r="I2001" s="14">
        <v>45301</v>
      </c>
    </row>
    <row r="2002" spans="1:9" x14ac:dyDescent="0.15">
      <c r="A2002" s="5">
        <v>2001</v>
      </c>
      <c r="B2002" s="6" t="s">
        <v>9</v>
      </c>
      <c r="C2002" s="7">
        <v>1882</v>
      </c>
      <c r="D2002" s="8">
        <v>45388</v>
      </c>
      <c r="E2002" s="9" t="str">
        <f>+HYPERLINK("http://trademark.i-assist.jp/data/china/image_1882th/76295296.pdf","76295296")</f>
        <v>76295296</v>
      </c>
      <c r="F2002" s="6" t="s">
        <v>5529</v>
      </c>
      <c r="G2002" s="6" t="s">
        <v>5530</v>
      </c>
      <c r="H2002" s="8" t="s">
        <v>5531</v>
      </c>
      <c r="I2002" s="14">
        <v>45301</v>
      </c>
    </row>
    <row r="2003" spans="1:9" x14ac:dyDescent="0.15">
      <c r="A2003" s="5">
        <v>2002</v>
      </c>
      <c r="B2003" s="6" t="s">
        <v>9</v>
      </c>
      <c r="C2003" s="7">
        <v>1882</v>
      </c>
      <c r="D2003" s="8">
        <v>45388</v>
      </c>
      <c r="E2003" s="9" t="str">
        <f>+HYPERLINK("http://trademark.i-assist.jp/data/china/image_1882th/76295302.pdf","76295302")</f>
        <v>76295302</v>
      </c>
      <c r="F2003" s="6" t="s">
        <v>5532</v>
      </c>
      <c r="G2003" s="6" t="s">
        <v>5533</v>
      </c>
      <c r="H2003" s="8" t="s">
        <v>5534</v>
      </c>
      <c r="I2003" s="14">
        <v>45301</v>
      </c>
    </row>
    <row r="2004" spans="1:9" x14ac:dyDescent="0.15">
      <c r="A2004" s="5">
        <v>2003</v>
      </c>
      <c r="B2004" s="6" t="s">
        <v>9</v>
      </c>
      <c r="C2004" s="7">
        <v>1882</v>
      </c>
      <c r="D2004" s="8">
        <v>45388</v>
      </c>
      <c r="E2004" s="9" t="str">
        <f>+HYPERLINK("http://trademark.i-assist.jp/data/china/image_1882th/76295378.pdf","76295378")</f>
        <v>76295378</v>
      </c>
      <c r="F2004" s="6" t="s">
        <v>5535</v>
      </c>
      <c r="G2004" s="6" t="s">
        <v>5536</v>
      </c>
      <c r="H2004" s="8" t="s">
        <v>5537</v>
      </c>
      <c r="I2004" s="14">
        <v>45301</v>
      </c>
    </row>
    <row r="2005" spans="1:9" x14ac:dyDescent="0.15">
      <c r="A2005" s="5">
        <v>2004</v>
      </c>
      <c r="B2005" s="6" t="s">
        <v>9</v>
      </c>
      <c r="C2005" s="7">
        <v>1882</v>
      </c>
      <c r="D2005" s="8">
        <v>45388</v>
      </c>
      <c r="E2005" s="9" t="str">
        <f>+HYPERLINK("http://trademark.i-assist.jp/data/china/image_1882th/76295388.pdf","76295388")</f>
        <v>76295388</v>
      </c>
      <c r="F2005" s="6" t="s">
        <v>5538</v>
      </c>
      <c r="G2005" s="6" t="s">
        <v>5539</v>
      </c>
      <c r="H2005" s="8" t="s">
        <v>5540</v>
      </c>
      <c r="I2005" s="14">
        <v>45301</v>
      </c>
    </row>
    <row r="2006" spans="1:9" x14ac:dyDescent="0.15">
      <c r="A2006" s="5">
        <v>2005</v>
      </c>
      <c r="B2006" s="6" t="s">
        <v>9</v>
      </c>
      <c r="C2006" s="7">
        <v>1882</v>
      </c>
      <c r="D2006" s="8">
        <v>45388</v>
      </c>
      <c r="E2006" s="9" t="str">
        <f>+HYPERLINK("http://trademark.i-assist.jp/data/china/image_1882th/76295588.pdf","76295588")</f>
        <v>76295588</v>
      </c>
      <c r="F2006" s="6" t="s">
        <v>5541</v>
      </c>
      <c r="G2006" s="6" t="s">
        <v>5542</v>
      </c>
      <c r="H2006" s="8" t="s">
        <v>5543</v>
      </c>
      <c r="I2006" s="14">
        <v>45301</v>
      </c>
    </row>
    <row r="2007" spans="1:9" x14ac:dyDescent="0.15">
      <c r="A2007" s="5">
        <v>2006</v>
      </c>
      <c r="B2007" s="6" t="s">
        <v>9</v>
      </c>
      <c r="C2007" s="7">
        <v>1882</v>
      </c>
      <c r="D2007" s="8">
        <v>45388</v>
      </c>
      <c r="E2007" s="9" t="str">
        <f>+HYPERLINK("http://trademark.i-assist.jp/data/china/image_1882th/76295589.pdf","76295589")</f>
        <v>76295589</v>
      </c>
      <c r="F2007" s="6" t="s">
        <v>5544</v>
      </c>
      <c r="G2007" s="6" t="s">
        <v>5545</v>
      </c>
      <c r="H2007" s="8" t="s">
        <v>5546</v>
      </c>
      <c r="I2007" s="14">
        <v>45301</v>
      </c>
    </row>
    <row r="2008" spans="1:9" x14ac:dyDescent="0.15">
      <c r="A2008" s="5">
        <v>2007</v>
      </c>
      <c r="B2008" s="6" t="s">
        <v>9</v>
      </c>
      <c r="C2008" s="7">
        <v>1882</v>
      </c>
      <c r="D2008" s="8">
        <v>45388</v>
      </c>
      <c r="E2008" s="9" t="str">
        <f>+HYPERLINK("http://trademark.i-assist.jp/data/china/image_1882th/76295661.pdf","76295661")</f>
        <v>76295661</v>
      </c>
      <c r="F2008" s="6" t="s">
        <v>5547</v>
      </c>
      <c r="G2008" s="6" t="s">
        <v>2541</v>
      </c>
      <c r="H2008" s="8" t="s">
        <v>5548</v>
      </c>
      <c r="I2008" s="14">
        <v>45301</v>
      </c>
    </row>
    <row r="2009" spans="1:9" x14ac:dyDescent="0.15">
      <c r="A2009" s="5">
        <v>2008</v>
      </c>
      <c r="B2009" s="6" t="s">
        <v>9</v>
      </c>
      <c r="C2009" s="7">
        <v>1882</v>
      </c>
      <c r="D2009" s="8">
        <v>45388</v>
      </c>
      <c r="E2009" s="9" t="str">
        <f>+HYPERLINK("http://trademark.i-assist.jp/data/china/image_1882th/76295698.pdf","76295698")</f>
        <v>76295698</v>
      </c>
      <c r="F2009" s="6" t="s">
        <v>5549</v>
      </c>
      <c r="G2009" s="6" t="s">
        <v>5481</v>
      </c>
      <c r="H2009" s="8" t="s">
        <v>5550</v>
      </c>
      <c r="I2009" s="14">
        <v>45301</v>
      </c>
    </row>
    <row r="2010" spans="1:9" x14ac:dyDescent="0.15">
      <c r="A2010" s="5">
        <v>2009</v>
      </c>
      <c r="B2010" s="6" t="s">
        <v>9</v>
      </c>
      <c r="C2010" s="7">
        <v>1882</v>
      </c>
      <c r="D2010" s="8">
        <v>45388</v>
      </c>
      <c r="E2010" s="9" t="str">
        <f>+HYPERLINK("http://trademark.i-assist.jp/data/china/image_1882th/76295738.pdf","76295738")</f>
        <v>76295738</v>
      </c>
      <c r="F2010" s="6" t="s">
        <v>5551</v>
      </c>
      <c r="G2010" s="6" t="s">
        <v>5552</v>
      </c>
      <c r="H2010" s="8" t="s">
        <v>5553</v>
      </c>
      <c r="I2010" s="14">
        <v>45301</v>
      </c>
    </row>
    <row r="2011" spans="1:9" x14ac:dyDescent="0.15">
      <c r="A2011" s="5">
        <v>2010</v>
      </c>
      <c r="B2011" s="6" t="s">
        <v>9</v>
      </c>
      <c r="C2011" s="7">
        <v>1882</v>
      </c>
      <c r="D2011" s="8">
        <v>45388</v>
      </c>
      <c r="E2011" s="9" t="str">
        <f>+HYPERLINK("http://trademark.i-assist.jp/data/china/image_1882th/76295964.pdf","76295964")</f>
        <v>76295964</v>
      </c>
      <c r="F2011" s="6" t="s">
        <v>5554</v>
      </c>
      <c r="G2011" s="6" t="s">
        <v>5555</v>
      </c>
      <c r="H2011" s="8" t="s">
        <v>5556</v>
      </c>
      <c r="I2011" s="14">
        <v>45301</v>
      </c>
    </row>
    <row r="2012" spans="1:9" x14ac:dyDescent="0.15">
      <c r="A2012" s="5">
        <v>2011</v>
      </c>
      <c r="B2012" s="6" t="s">
        <v>9</v>
      </c>
      <c r="C2012" s="7">
        <v>1882</v>
      </c>
      <c r="D2012" s="8">
        <v>45388</v>
      </c>
      <c r="E2012" s="9" t="str">
        <f>+HYPERLINK("http://trademark.i-assist.jp/data/china/image_1882th/76295987.pdf","76295987")</f>
        <v>76295987</v>
      </c>
      <c r="F2012" s="6" t="s">
        <v>5557</v>
      </c>
      <c r="G2012" s="6" t="s">
        <v>5558</v>
      </c>
      <c r="H2012" s="8" t="s">
        <v>5559</v>
      </c>
      <c r="I2012" s="14">
        <v>45301</v>
      </c>
    </row>
    <row r="2013" spans="1:9" x14ac:dyDescent="0.15">
      <c r="A2013" s="5">
        <v>2012</v>
      </c>
      <c r="B2013" s="6" t="s">
        <v>9</v>
      </c>
      <c r="C2013" s="7">
        <v>1882</v>
      </c>
      <c r="D2013" s="8">
        <v>45388</v>
      </c>
      <c r="E2013" s="9" t="str">
        <f>+HYPERLINK("http://trademark.i-assist.jp/data/china/image_1882th/76296032.pdf","76296032")</f>
        <v>76296032</v>
      </c>
      <c r="F2013" s="6" t="s">
        <v>5560</v>
      </c>
      <c r="G2013" s="6" t="s">
        <v>5558</v>
      </c>
      <c r="H2013" s="8" t="s">
        <v>5561</v>
      </c>
      <c r="I2013" s="14">
        <v>45301</v>
      </c>
    </row>
    <row r="2014" spans="1:9" x14ac:dyDescent="0.15">
      <c r="A2014" s="5">
        <v>2013</v>
      </c>
      <c r="B2014" s="6" t="s">
        <v>9</v>
      </c>
      <c r="C2014" s="7">
        <v>1882</v>
      </c>
      <c r="D2014" s="8">
        <v>45388</v>
      </c>
      <c r="E2014" s="9" t="str">
        <f>+HYPERLINK("http://trademark.i-assist.jp/data/china/image_1882th/76296188.pdf","76296188")</f>
        <v>76296188</v>
      </c>
      <c r="F2014" s="6" t="s">
        <v>5562</v>
      </c>
      <c r="G2014" s="6" t="s">
        <v>5504</v>
      </c>
      <c r="H2014" s="8" t="s">
        <v>5563</v>
      </c>
      <c r="I2014" s="14">
        <v>45301</v>
      </c>
    </row>
    <row r="2015" spans="1:9" x14ac:dyDescent="0.15">
      <c r="A2015" s="5">
        <v>2014</v>
      </c>
      <c r="B2015" s="6" t="s">
        <v>9</v>
      </c>
      <c r="C2015" s="7">
        <v>1882</v>
      </c>
      <c r="D2015" s="8">
        <v>45388</v>
      </c>
      <c r="E2015" s="9" t="str">
        <f>+HYPERLINK("http://trademark.i-assist.jp/data/china/image_1882th/76296200.pdf","76296200")</f>
        <v>76296200</v>
      </c>
      <c r="F2015" s="6" t="s">
        <v>5564</v>
      </c>
      <c r="G2015" s="6" t="s">
        <v>5565</v>
      </c>
      <c r="H2015" s="8" t="s">
        <v>5566</v>
      </c>
      <c r="I2015" s="14">
        <v>45301</v>
      </c>
    </row>
    <row r="2016" spans="1:9" x14ac:dyDescent="0.15">
      <c r="A2016" s="5">
        <v>2015</v>
      </c>
      <c r="B2016" s="6" t="s">
        <v>9</v>
      </c>
      <c r="C2016" s="7">
        <v>1882</v>
      </c>
      <c r="D2016" s="8">
        <v>45388</v>
      </c>
      <c r="E2016" s="9" t="str">
        <f>+HYPERLINK("http://trademark.i-assist.jp/data/china/image_1882th/76296243.pdf","76296243")</f>
        <v>76296243</v>
      </c>
      <c r="F2016" s="6" t="s">
        <v>5567</v>
      </c>
      <c r="G2016" s="6" t="s">
        <v>5568</v>
      </c>
      <c r="H2016" s="8" t="s">
        <v>5569</v>
      </c>
      <c r="I2016" s="14">
        <v>45301</v>
      </c>
    </row>
    <row r="2017" spans="1:9" x14ac:dyDescent="0.15">
      <c r="A2017" s="5">
        <v>2016</v>
      </c>
      <c r="B2017" s="6" t="s">
        <v>9</v>
      </c>
      <c r="C2017" s="7">
        <v>1882</v>
      </c>
      <c r="D2017" s="8">
        <v>45388</v>
      </c>
      <c r="E2017" s="9" t="str">
        <f>+HYPERLINK("http://trademark.i-assist.jp/data/china/image_1882th/76296252.pdf","76296252")</f>
        <v>76296252</v>
      </c>
      <c r="F2017" s="6" t="s">
        <v>5570</v>
      </c>
      <c r="G2017" s="6" t="s">
        <v>3560</v>
      </c>
      <c r="H2017" s="8" t="s">
        <v>5571</v>
      </c>
      <c r="I2017" s="14">
        <v>45301</v>
      </c>
    </row>
    <row r="2018" spans="1:9" x14ac:dyDescent="0.15">
      <c r="A2018" s="5">
        <v>2017</v>
      </c>
      <c r="B2018" s="6" t="s">
        <v>9</v>
      </c>
      <c r="C2018" s="7">
        <v>1882</v>
      </c>
      <c r="D2018" s="8">
        <v>45388</v>
      </c>
      <c r="E2018" s="9" t="str">
        <f>+HYPERLINK("http://trademark.i-assist.jp/data/china/image_1882th/76296949.pdf","76296949")</f>
        <v>76296949</v>
      </c>
      <c r="F2018" s="6" t="s">
        <v>5572</v>
      </c>
      <c r="G2018" s="6" t="s">
        <v>5573</v>
      </c>
      <c r="H2018" s="8" t="s">
        <v>5574</v>
      </c>
      <c r="I2018" s="14">
        <v>45301</v>
      </c>
    </row>
    <row r="2019" spans="1:9" x14ac:dyDescent="0.15">
      <c r="A2019" s="5">
        <v>2018</v>
      </c>
      <c r="B2019" s="6" t="s">
        <v>9</v>
      </c>
      <c r="C2019" s="7">
        <v>1882</v>
      </c>
      <c r="D2019" s="8">
        <v>45388</v>
      </c>
      <c r="E2019" s="9" t="str">
        <f>+HYPERLINK("http://trademark.i-assist.jp/data/china/image_1882th/76297004.pdf","76297004")</f>
        <v>76297004</v>
      </c>
      <c r="F2019" s="6" t="s">
        <v>5575</v>
      </c>
      <c r="G2019" s="6" t="s">
        <v>5576</v>
      </c>
      <c r="H2019" s="8" t="s">
        <v>5577</v>
      </c>
      <c r="I2019" s="14">
        <v>45301</v>
      </c>
    </row>
    <row r="2020" spans="1:9" x14ac:dyDescent="0.15">
      <c r="A2020" s="5">
        <v>2019</v>
      </c>
      <c r="B2020" s="6" t="s">
        <v>9</v>
      </c>
      <c r="C2020" s="7">
        <v>1882</v>
      </c>
      <c r="D2020" s="8">
        <v>45388</v>
      </c>
      <c r="E2020" s="9" t="str">
        <f>+HYPERLINK("http://trademark.i-assist.jp/data/china/image_1882th/76297136.pdf","76297136")</f>
        <v>76297136</v>
      </c>
      <c r="F2020" s="6" t="s">
        <v>5578</v>
      </c>
      <c r="G2020" s="6" t="s">
        <v>5481</v>
      </c>
      <c r="H2020" s="8" t="s">
        <v>5579</v>
      </c>
      <c r="I2020" s="14">
        <v>45301</v>
      </c>
    </row>
    <row r="2021" spans="1:9" x14ac:dyDescent="0.15">
      <c r="A2021" s="5">
        <v>2020</v>
      </c>
      <c r="B2021" s="6" t="s">
        <v>9</v>
      </c>
      <c r="C2021" s="7">
        <v>1882</v>
      </c>
      <c r="D2021" s="8">
        <v>45388</v>
      </c>
      <c r="E2021" s="9" t="str">
        <f>+HYPERLINK("http://trademark.i-assist.jp/data/china/image_1882th/76297159.pdf","76297159")</f>
        <v>76297159</v>
      </c>
      <c r="F2021" s="6" t="s">
        <v>5580</v>
      </c>
      <c r="G2021" s="6" t="s">
        <v>5542</v>
      </c>
      <c r="H2021" s="8" t="s">
        <v>5581</v>
      </c>
      <c r="I2021" s="14">
        <v>45301</v>
      </c>
    </row>
    <row r="2022" spans="1:9" x14ac:dyDescent="0.15">
      <c r="A2022" s="5">
        <v>2021</v>
      </c>
      <c r="B2022" s="6" t="s">
        <v>9</v>
      </c>
      <c r="C2022" s="7">
        <v>1882</v>
      </c>
      <c r="D2022" s="8">
        <v>45388</v>
      </c>
      <c r="E2022" s="9" t="str">
        <f>+HYPERLINK("http://trademark.i-assist.jp/data/china/image_1882th/76297245.pdf","76297245")</f>
        <v>76297245</v>
      </c>
      <c r="F2022" s="6" t="s">
        <v>26</v>
      </c>
      <c r="G2022" s="6" t="s">
        <v>5582</v>
      </c>
      <c r="H2022" s="8" t="s">
        <v>5583</v>
      </c>
      <c r="I2022" s="14">
        <v>45301</v>
      </c>
    </row>
    <row r="2023" spans="1:9" x14ac:dyDescent="0.15">
      <c r="A2023" s="5">
        <v>2022</v>
      </c>
      <c r="B2023" s="6" t="s">
        <v>9</v>
      </c>
      <c r="C2023" s="7">
        <v>1882</v>
      </c>
      <c r="D2023" s="8">
        <v>45388</v>
      </c>
      <c r="E2023" s="9" t="str">
        <f>+HYPERLINK("http://trademark.i-assist.jp/data/china/image_1882th/76297389.pdf","76297389")</f>
        <v>76297389</v>
      </c>
      <c r="F2023" s="6" t="s">
        <v>5584</v>
      </c>
      <c r="G2023" s="6" t="s">
        <v>5585</v>
      </c>
      <c r="H2023" s="8" t="s">
        <v>5586</v>
      </c>
      <c r="I2023" s="14">
        <v>45301</v>
      </c>
    </row>
    <row r="2024" spans="1:9" x14ac:dyDescent="0.15">
      <c r="A2024" s="5">
        <v>2023</v>
      </c>
      <c r="B2024" s="6" t="s">
        <v>9</v>
      </c>
      <c r="C2024" s="7">
        <v>1882</v>
      </c>
      <c r="D2024" s="8">
        <v>45388</v>
      </c>
      <c r="E2024" s="9" t="str">
        <f>+HYPERLINK("http://trademark.i-assist.jp/data/china/image_1882th/76297413.pdf","76297413")</f>
        <v>76297413</v>
      </c>
      <c r="F2024" s="6" t="s">
        <v>5587</v>
      </c>
      <c r="G2024" s="6" t="s">
        <v>5588</v>
      </c>
      <c r="H2024" s="8" t="s">
        <v>5589</v>
      </c>
      <c r="I2024" s="14">
        <v>45301</v>
      </c>
    </row>
    <row r="2025" spans="1:9" x14ac:dyDescent="0.15">
      <c r="A2025" s="5">
        <v>2024</v>
      </c>
      <c r="B2025" s="6" t="s">
        <v>9</v>
      </c>
      <c r="C2025" s="7">
        <v>1882</v>
      </c>
      <c r="D2025" s="8">
        <v>45388</v>
      </c>
      <c r="E2025" s="9" t="str">
        <f>+HYPERLINK("http://trademark.i-assist.jp/data/china/image_1882th/76297478.pdf","76297478")</f>
        <v>76297478</v>
      </c>
      <c r="F2025" s="6" t="s">
        <v>5590</v>
      </c>
      <c r="G2025" s="6" t="s">
        <v>5591</v>
      </c>
      <c r="H2025" s="8" t="s">
        <v>5592</v>
      </c>
      <c r="I2025" s="14">
        <v>45301</v>
      </c>
    </row>
    <row r="2026" spans="1:9" x14ac:dyDescent="0.15">
      <c r="A2026" s="5">
        <v>2025</v>
      </c>
      <c r="B2026" s="6" t="s">
        <v>9</v>
      </c>
      <c r="C2026" s="7">
        <v>1882</v>
      </c>
      <c r="D2026" s="8">
        <v>45388</v>
      </c>
      <c r="E2026" s="9" t="str">
        <f>+HYPERLINK("http://trademark.i-assist.jp/data/china/image_1882th/76297505.pdf","76297505")</f>
        <v>76297505</v>
      </c>
      <c r="F2026" s="6" t="s">
        <v>5593</v>
      </c>
      <c r="G2026" s="6" t="s">
        <v>3353</v>
      </c>
      <c r="H2026" s="8" t="s">
        <v>5594</v>
      </c>
      <c r="I2026" s="14">
        <v>45301</v>
      </c>
    </row>
    <row r="2027" spans="1:9" x14ac:dyDescent="0.15">
      <c r="A2027" s="5">
        <v>2026</v>
      </c>
      <c r="B2027" s="6" t="s">
        <v>9</v>
      </c>
      <c r="C2027" s="7">
        <v>1882</v>
      </c>
      <c r="D2027" s="8">
        <v>45388</v>
      </c>
      <c r="E2027" s="9" t="str">
        <f>+HYPERLINK("http://trademark.i-assist.jp/data/china/image_1882th/76297510.pdf","76297510")</f>
        <v>76297510</v>
      </c>
      <c r="F2027" s="6" t="s">
        <v>5595</v>
      </c>
      <c r="G2027" s="6" t="s">
        <v>5596</v>
      </c>
      <c r="H2027" s="8" t="s">
        <v>5597</v>
      </c>
      <c r="I2027" s="14">
        <v>45301</v>
      </c>
    </row>
    <row r="2028" spans="1:9" x14ac:dyDescent="0.15">
      <c r="A2028" s="5">
        <v>2027</v>
      </c>
      <c r="B2028" s="6" t="s">
        <v>9</v>
      </c>
      <c r="C2028" s="7">
        <v>1882</v>
      </c>
      <c r="D2028" s="8">
        <v>45388</v>
      </c>
      <c r="E2028" s="9" t="str">
        <f>+HYPERLINK("http://trademark.i-assist.jp/data/china/image_1882th/76297541.pdf","76297541")</f>
        <v>76297541</v>
      </c>
      <c r="F2028" s="6" t="s">
        <v>5598</v>
      </c>
      <c r="G2028" s="6" t="s">
        <v>5599</v>
      </c>
      <c r="H2028" s="8" t="s">
        <v>5600</v>
      </c>
      <c r="I2028" s="14">
        <v>45301</v>
      </c>
    </row>
    <row r="2029" spans="1:9" x14ac:dyDescent="0.15">
      <c r="A2029" s="5">
        <v>2028</v>
      </c>
      <c r="B2029" s="6" t="s">
        <v>9</v>
      </c>
      <c r="C2029" s="7">
        <v>1882</v>
      </c>
      <c r="D2029" s="8">
        <v>45388</v>
      </c>
      <c r="E2029" s="9" t="str">
        <f>+HYPERLINK("http://trademark.i-assist.jp/data/china/image_1882th/76297630.pdf","76297630")</f>
        <v>76297630</v>
      </c>
      <c r="F2029" s="6" t="s">
        <v>5601</v>
      </c>
      <c r="G2029" s="6" t="s">
        <v>5602</v>
      </c>
      <c r="H2029" s="8" t="s">
        <v>5603</v>
      </c>
      <c r="I2029" s="14">
        <v>45301</v>
      </c>
    </row>
    <row r="2030" spans="1:9" x14ac:dyDescent="0.15">
      <c r="A2030" s="5">
        <v>2029</v>
      </c>
      <c r="B2030" s="6" t="s">
        <v>9</v>
      </c>
      <c r="C2030" s="7">
        <v>1882</v>
      </c>
      <c r="D2030" s="8">
        <v>45388</v>
      </c>
      <c r="E2030" s="9" t="str">
        <f>+HYPERLINK("http://trademark.i-assist.jp/data/china/image_1882th/76297667.pdf","76297667")</f>
        <v>76297667</v>
      </c>
      <c r="F2030" s="6" t="s">
        <v>5604</v>
      </c>
      <c r="G2030" s="6" t="s">
        <v>3121</v>
      </c>
      <c r="H2030" s="8" t="s">
        <v>5605</v>
      </c>
      <c r="I2030" s="14">
        <v>45301</v>
      </c>
    </row>
    <row r="2031" spans="1:9" x14ac:dyDescent="0.15">
      <c r="A2031" s="5">
        <v>2030</v>
      </c>
      <c r="B2031" s="6" t="s">
        <v>9</v>
      </c>
      <c r="C2031" s="7">
        <v>1882</v>
      </c>
      <c r="D2031" s="8">
        <v>45388</v>
      </c>
      <c r="E2031" s="9" t="str">
        <f>+HYPERLINK("http://trademark.i-assist.jp/data/china/image_1882th/76297738.pdf","76297738")</f>
        <v>76297738</v>
      </c>
      <c r="F2031" s="6" t="s">
        <v>5606</v>
      </c>
      <c r="G2031" s="6" t="s">
        <v>5607</v>
      </c>
      <c r="H2031" s="8" t="s">
        <v>5608</v>
      </c>
      <c r="I2031" s="14">
        <v>45301</v>
      </c>
    </row>
    <row r="2032" spans="1:9" x14ac:dyDescent="0.15">
      <c r="A2032" s="5">
        <v>2031</v>
      </c>
      <c r="B2032" s="6" t="s">
        <v>9</v>
      </c>
      <c r="C2032" s="7">
        <v>1882</v>
      </c>
      <c r="D2032" s="8">
        <v>45388</v>
      </c>
      <c r="E2032" s="9" t="str">
        <f>+HYPERLINK("http://trademark.i-assist.jp/data/china/image_1882th/76297881.pdf","76297881")</f>
        <v>76297881</v>
      </c>
      <c r="F2032" s="6" t="s">
        <v>5609</v>
      </c>
      <c r="G2032" s="6" t="s">
        <v>5610</v>
      </c>
      <c r="H2032" s="8" t="s">
        <v>5611</v>
      </c>
      <c r="I2032" s="14">
        <v>45301</v>
      </c>
    </row>
    <row r="2033" spans="1:9" x14ac:dyDescent="0.15">
      <c r="A2033" s="5">
        <v>2032</v>
      </c>
      <c r="B2033" s="6" t="s">
        <v>9</v>
      </c>
      <c r="C2033" s="7">
        <v>1882</v>
      </c>
      <c r="D2033" s="8">
        <v>45388</v>
      </c>
      <c r="E2033" s="9" t="str">
        <f>+HYPERLINK("http://trademark.i-assist.jp/data/china/image_1882th/76297967.pdf","76297967")</f>
        <v>76297967</v>
      </c>
      <c r="F2033" s="6" t="s">
        <v>5612</v>
      </c>
      <c r="G2033" s="6" t="s">
        <v>5613</v>
      </c>
      <c r="H2033" s="8" t="s">
        <v>5614</v>
      </c>
      <c r="I2033" s="14">
        <v>45301</v>
      </c>
    </row>
    <row r="2034" spans="1:9" x14ac:dyDescent="0.15">
      <c r="A2034" s="5">
        <v>2033</v>
      </c>
      <c r="B2034" s="6" t="s">
        <v>9</v>
      </c>
      <c r="C2034" s="7">
        <v>1882</v>
      </c>
      <c r="D2034" s="8">
        <v>45388</v>
      </c>
      <c r="E2034" s="9" t="str">
        <f>+HYPERLINK("http://trademark.i-assist.jp/data/china/image_1882th/76298044.pdf","76298044")</f>
        <v>76298044</v>
      </c>
      <c r="F2034" s="6" t="s">
        <v>5615</v>
      </c>
      <c r="G2034" s="6" t="s">
        <v>5616</v>
      </c>
      <c r="H2034" s="8" t="s">
        <v>5617</v>
      </c>
      <c r="I2034" s="14">
        <v>45301</v>
      </c>
    </row>
    <row r="2035" spans="1:9" x14ac:dyDescent="0.15">
      <c r="A2035" s="5">
        <v>2034</v>
      </c>
      <c r="B2035" s="6" t="s">
        <v>9</v>
      </c>
      <c r="C2035" s="7">
        <v>1882</v>
      </c>
      <c r="D2035" s="8">
        <v>45388</v>
      </c>
      <c r="E2035" s="9" t="str">
        <f>+HYPERLINK("http://trademark.i-assist.jp/data/china/image_1882th/76298203.pdf","76298203")</f>
        <v>76298203</v>
      </c>
      <c r="F2035" s="6" t="s">
        <v>5618</v>
      </c>
      <c r="G2035" s="6" t="s">
        <v>5619</v>
      </c>
      <c r="H2035" s="8" t="s">
        <v>5620</v>
      </c>
      <c r="I2035" s="14">
        <v>45301</v>
      </c>
    </row>
    <row r="2036" spans="1:9" x14ac:dyDescent="0.15">
      <c r="A2036" s="5">
        <v>2035</v>
      </c>
      <c r="B2036" s="6" t="s">
        <v>9</v>
      </c>
      <c r="C2036" s="7">
        <v>1882</v>
      </c>
      <c r="D2036" s="8">
        <v>45388</v>
      </c>
      <c r="E2036" s="9" t="str">
        <f>+HYPERLINK("http://trademark.i-assist.jp/data/china/image_1882th/76298220.pdf","76298220")</f>
        <v>76298220</v>
      </c>
      <c r="F2036" s="6" t="s">
        <v>5621</v>
      </c>
      <c r="G2036" s="6" t="s">
        <v>5622</v>
      </c>
      <c r="H2036" s="8" t="s">
        <v>5623</v>
      </c>
      <c r="I2036" s="14">
        <v>45301</v>
      </c>
    </row>
    <row r="2037" spans="1:9" x14ac:dyDescent="0.15">
      <c r="A2037" s="5">
        <v>2036</v>
      </c>
      <c r="B2037" s="6" t="s">
        <v>9</v>
      </c>
      <c r="C2037" s="7">
        <v>1882</v>
      </c>
      <c r="D2037" s="8">
        <v>45388</v>
      </c>
      <c r="E2037" s="9" t="str">
        <f>+HYPERLINK("http://trademark.i-assist.jp/data/china/image_1882th/76298439.pdf","76298439")</f>
        <v>76298439</v>
      </c>
      <c r="F2037" s="6" t="s">
        <v>5624</v>
      </c>
      <c r="G2037" s="6" t="s">
        <v>5625</v>
      </c>
      <c r="H2037" s="8" t="s">
        <v>5626</v>
      </c>
      <c r="I2037" s="14">
        <v>45301</v>
      </c>
    </row>
    <row r="2038" spans="1:9" x14ac:dyDescent="0.15">
      <c r="A2038" s="5">
        <v>2037</v>
      </c>
      <c r="B2038" s="6" t="s">
        <v>9</v>
      </c>
      <c r="C2038" s="7">
        <v>1882</v>
      </c>
      <c r="D2038" s="8">
        <v>45388</v>
      </c>
      <c r="E2038" s="9" t="str">
        <f>+HYPERLINK("http://trademark.i-assist.jp/data/china/image_1882th/76298552.pdf","76298552")</f>
        <v>76298552</v>
      </c>
      <c r="F2038" s="6" t="s">
        <v>5627</v>
      </c>
      <c r="G2038" s="6" t="s">
        <v>5628</v>
      </c>
      <c r="H2038" s="8" t="s">
        <v>5629</v>
      </c>
      <c r="I2038" s="14">
        <v>45301</v>
      </c>
    </row>
    <row r="2039" spans="1:9" x14ac:dyDescent="0.15">
      <c r="A2039" s="5">
        <v>2038</v>
      </c>
      <c r="B2039" s="6" t="s">
        <v>9</v>
      </c>
      <c r="C2039" s="7">
        <v>1882</v>
      </c>
      <c r="D2039" s="8">
        <v>45388</v>
      </c>
      <c r="E2039" s="9" t="str">
        <f>+HYPERLINK("http://trademark.i-assist.jp/data/china/image_1882th/76298596.pdf","76298596")</f>
        <v>76298596</v>
      </c>
      <c r="F2039" s="6" t="s">
        <v>5630</v>
      </c>
      <c r="G2039" s="6" t="s">
        <v>5631</v>
      </c>
      <c r="H2039" s="8" t="s">
        <v>5632</v>
      </c>
      <c r="I2039" s="14">
        <v>45301</v>
      </c>
    </row>
    <row r="2040" spans="1:9" x14ac:dyDescent="0.15">
      <c r="A2040" s="5">
        <v>2039</v>
      </c>
      <c r="B2040" s="6" t="s">
        <v>9</v>
      </c>
      <c r="C2040" s="7">
        <v>1882</v>
      </c>
      <c r="D2040" s="8">
        <v>45388</v>
      </c>
      <c r="E2040" s="9" t="str">
        <f>+HYPERLINK("http://trademark.i-assist.jp/data/china/image_1882th/76298768.pdf","76298768")</f>
        <v>76298768</v>
      </c>
      <c r="F2040" s="6" t="s">
        <v>5633</v>
      </c>
      <c r="G2040" s="6" t="s">
        <v>5634</v>
      </c>
      <c r="H2040" s="8" t="s">
        <v>5635</v>
      </c>
      <c r="I2040" s="14">
        <v>45301</v>
      </c>
    </row>
    <row r="2041" spans="1:9" x14ac:dyDescent="0.15">
      <c r="A2041" s="5">
        <v>2040</v>
      </c>
      <c r="B2041" s="6" t="s">
        <v>9</v>
      </c>
      <c r="C2041" s="7">
        <v>1882</v>
      </c>
      <c r="D2041" s="8">
        <v>45388</v>
      </c>
      <c r="E2041" s="9" t="str">
        <f>+HYPERLINK("http://trademark.i-assist.jp/data/china/image_1882th/76298866.pdf","76298866")</f>
        <v>76298866</v>
      </c>
      <c r="F2041" s="6" t="s">
        <v>5636</v>
      </c>
      <c r="G2041" s="6" t="s">
        <v>5637</v>
      </c>
      <c r="H2041" s="8" t="s">
        <v>5638</v>
      </c>
      <c r="I2041" s="14">
        <v>45301</v>
      </c>
    </row>
    <row r="2042" spans="1:9" x14ac:dyDescent="0.15">
      <c r="A2042" s="5">
        <v>2041</v>
      </c>
      <c r="B2042" s="6" t="s">
        <v>9</v>
      </c>
      <c r="C2042" s="7">
        <v>1882</v>
      </c>
      <c r="D2042" s="8">
        <v>45388</v>
      </c>
      <c r="E2042" s="9" t="str">
        <f>+HYPERLINK("http://trademark.i-assist.jp/data/china/image_1882th/76298870.pdf","76298870")</f>
        <v>76298870</v>
      </c>
      <c r="F2042" s="6" t="s">
        <v>5639</v>
      </c>
      <c r="G2042" s="6" t="s">
        <v>5640</v>
      </c>
      <c r="H2042" s="8" t="s">
        <v>5641</v>
      </c>
      <c r="I2042" s="14">
        <v>45301</v>
      </c>
    </row>
    <row r="2043" spans="1:9" x14ac:dyDescent="0.15">
      <c r="A2043" s="5">
        <v>2042</v>
      </c>
      <c r="B2043" s="6" t="s">
        <v>9</v>
      </c>
      <c r="C2043" s="7">
        <v>1882</v>
      </c>
      <c r="D2043" s="8">
        <v>45388</v>
      </c>
      <c r="E2043" s="9" t="str">
        <f>+HYPERLINK("http://trademark.i-assist.jp/data/china/image_1882th/76299002.pdf","76299002")</f>
        <v>76299002</v>
      </c>
      <c r="F2043" s="6" t="s">
        <v>5606</v>
      </c>
      <c r="G2043" s="6" t="s">
        <v>5607</v>
      </c>
      <c r="H2043" s="8" t="s">
        <v>5642</v>
      </c>
      <c r="I2043" s="14">
        <v>45301</v>
      </c>
    </row>
    <row r="2044" spans="1:9" x14ac:dyDescent="0.15">
      <c r="A2044" s="5">
        <v>2043</v>
      </c>
      <c r="B2044" s="6" t="s">
        <v>9</v>
      </c>
      <c r="C2044" s="7">
        <v>1882</v>
      </c>
      <c r="D2044" s="8">
        <v>45388</v>
      </c>
      <c r="E2044" s="9" t="str">
        <f>+HYPERLINK("http://trademark.i-assist.jp/data/china/image_1882th/76299007.pdf","76299007")</f>
        <v>76299007</v>
      </c>
      <c r="F2044" s="6" t="s">
        <v>26</v>
      </c>
      <c r="G2044" s="6" t="s">
        <v>5643</v>
      </c>
      <c r="H2044" s="8" t="s">
        <v>5644</v>
      </c>
      <c r="I2044" s="14">
        <v>45301</v>
      </c>
    </row>
    <row r="2045" spans="1:9" x14ac:dyDescent="0.15">
      <c r="A2045" s="5">
        <v>2044</v>
      </c>
      <c r="B2045" s="6" t="s">
        <v>9</v>
      </c>
      <c r="C2045" s="7">
        <v>1882</v>
      </c>
      <c r="D2045" s="8">
        <v>45388</v>
      </c>
      <c r="E2045" s="9" t="str">
        <f>+HYPERLINK("http://trademark.i-assist.jp/data/china/image_1882th/76299029.pdf","76299029")</f>
        <v>76299029</v>
      </c>
      <c r="F2045" s="6" t="s">
        <v>5645</v>
      </c>
      <c r="G2045" s="6" t="s">
        <v>5646</v>
      </c>
      <c r="H2045" s="8" t="s">
        <v>5647</v>
      </c>
      <c r="I2045" s="14">
        <v>45301</v>
      </c>
    </row>
    <row r="2046" spans="1:9" x14ac:dyDescent="0.15">
      <c r="A2046" s="5">
        <v>2045</v>
      </c>
      <c r="B2046" s="6" t="s">
        <v>9</v>
      </c>
      <c r="C2046" s="7">
        <v>1882</v>
      </c>
      <c r="D2046" s="8">
        <v>45388</v>
      </c>
      <c r="E2046" s="9" t="str">
        <f>+HYPERLINK("http://trademark.i-assist.jp/data/china/image_1882th/76299091.pdf","76299091")</f>
        <v>76299091</v>
      </c>
      <c r="F2046" s="6" t="s">
        <v>5648</v>
      </c>
      <c r="G2046" s="6" t="s">
        <v>5649</v>
      </c>
      <c r="H2046" s="8" t="s">
        <v>5650</v>
      </c>
      <c r="I2046" s="14">
        <v>45301</v>
      </c>
    </row>
    <row r="2047" spans="1:9" x14ac:dyDescent="0.15">
      <c r="A2047" s="5">
        <v>2046</v>
      </c>
      <c r="B2047" s="6" t="s">
        <v>9</v>
      </c>
      <c r="C2047" s="7">
        <v>1882</v>
      </c>
      <c r="D2047" s="8">
        <v>45388</v>
      </c>
      <c r="E2047" s="9" t="str">
        <f>+HYPERLINK("http://trademark.i-assist.jp/data/china/image_1882th/76299131.pdf","76299131")</f>
        <v>76299131</v>
      </c>
      <c r="F2047" s="6" t="s">
        <v>5651</v>
      </c>
      <c r="G2047" s="6" t="s">
        <v>5469</v>
      </c>
      <c r="H2047" s="8" t="s">
        <v>5652</v>
      </c>
      <c r="I2047" s="14">
        <v>45301</v>
      </c>
    </row>
    <row r="2048" spans="1:9" x14ac:dyDescent="0.15">
      <c r="A2048" s="5">
        <v>2047</v>
      </c>
      <c r="B2048" s="6" t="s">
        <v>9</v>
      </c>
      <c r="C2048" s="7">
        <v>1882</v>
      </c>
      <c r="D2048" s="8">
        <v>45388</v>
      </c>
      <c r="E2048" s="9" t="str">
        <f>+HYPERLINK("http://trademark.i-assist.jp/data/china/image_1882th/76299154.pdf","76299154")</f>
        <v>76299154</v>
      </c>
      <c r="F2048" s="6" t="s">
        <v>5653</v>
      </c>
      <c r="G2048" s="6" t="s">
        <v>5654</v>
      </c>
      <c r="H2048" s="8" t="s">
        <v>5655</v>
      </c>
      <c r="I2048" s="14">
        <v>45301</v>
      </c>
    </row>
    <row r="2049" spans="1:9" x14ac:dyDescent="0.15">
      <c r="A2049" s="5">
        <v>2048</v>
      </c>
      <c r="B2049" s="6" t="s">
        <v>9</v>
      </c>
      <c r="C2049" s="7">
        <v>1882</v>
      </c>
      <c r="D2049" s="8">
        <v>45388</v>
      </c>
      <c r="E2049" s="9" t="str">
        <f>+HYPERLINK("http://trademark.i-assist.jp/data/china/image_1882th/76299172.pdf","76299172")</f>
        <v>76299172</v>
      </c>
      <c r="F2049" s="6" t="s">
        <v>5656</v>
      </c>
      <c r="G2049" s="6" t="s">
        <v>5657</v>
      </c>
      <c r="H2049" s="8" t="s">
        <v>5658</v>
      </c>
      <c r="I2049" s="14">
        <v>45301</v>
      </c>
    </row>
    <row r="2050" spans="1:9" x14ac:dyDescent="0.15">
      <c r="A2050" s="5">
        <v>2049</v>
      </c>
      <c r="B2050" s="6" t="s">
        <v>9</v>
      </c>
      <c r="C2050" s="7">
        <v>1882</v>
      </c>
      <c r="D2050" s="8">
        <v>45388</v>
      </c>
      <c r="E2050" s="9" t="str">
        <f>+HYPERLINK("http://trademark.i-assist.jp/data/china/image_1882th/76299567.pdf","76299567")</f>
        <v>76299567</v>
      </c>
      <c r="F2050" s="6" t="s">
        <v>5659</v>
      </c>
      <c r="G2050" s="6" t="s">
        <v>5660</v>
      </c>
      <c r="H2050" s="8" t="s">
        <v>5661</v>
      </c>
      <c r="I2050" s="14">
        <v>45301</v>
      </c>
    </row>
    <row r="2051" spans="1:9" x14ac:dyDescent="0.15">
      <c r="A2051" s="5">
        <v>2050</v>
      </c>
      <c r="B2051" s="6" t="s">
        <v>9</v>
      </c>
      <c r="C2051" s="7">
        <v>1882</v>
      </c>
      <c r="D2051" s="8">
        <v>45388</v>
      </c>
      <c r="E2051" s="9" t="str">
        <f>+HYPERLINK("http://trademark.i-assist.jp/data/china/image_1882th/76299590.pdf","76299590")</f>
        <v>76299590</v>
      </c>
      <c r="F2051" s="6" t="s">
        <v>5662</v>
      </c>
      <c r="G2051" s="6" t="s">
        <v>5663</v>
      </c>
      <c r="H2051" s="8" t="s">
        <v>5664</v>
      </c>
      <c r="I2051" s="14">
        <v>45301</v>
      </c>
    </row>
    <row r="2052" spans="1:9" x14ac:dyDescent="0.15">
      <c r="A2052" s="5">
        <v>2051</v>
      </c>
      <c r="B2052" s="6" t="s">
        <v>9</v>
      </c>
      <c r="C2052" s="7">
        <v>1882</v>
      </c>
      <c r="D2052" s="8">
        <v>45388</v>
      </c>
      <c r="E2052" s="9" t="str">
        <f>+HYPERLINK("http://trademark.i-assist.jp/data/china/image_1882th/76299613.pdf","76299613")</f>
        <v>76299613</v>
      </c>
      <c r="F2052" s="6" t="s">
        <v>5665</v>
      </c>
      <c r="G2052" s="6" t="s">
        <v>5666</v>
      </c>
      <c r="H2052" s="8" t="s">
        <v>5667</v>
      </c>
      <c r="I2052" s="14">
        <v>45301</v>
      </c>
    </row>
    <row r="2053" spans="1:9" x14ac:dyDescent="0.15">
      <c r="A2053" s="5">
        <v>2052</v>
      </c>
      <c r="B2053" s="6" t="s">
        <v>9</v>
      </c>
      <c r="C2053" s="7">
        <v>1882</v>
      </c>
      <c r="D2053" s="8">
        <v>45388</v>
      </c>
      <c r="E2053" s="9" t="str">
        <f>+HYPERLINK("http://trademark.i-assist.jp/data/china/image_1882th/76299836.pdf","76299836")</f>
        <v>76299836</v>
      </c>
      <c r="F2053" s="6" t="s">
        <v>26</v>
      </c>
      <c r="G2053" s="6" t="s">
        <v>5668</v>
      </c>
      <c r="H2053" s="8" t="s">
        <v>5669</v>
      </c>
      <c r="I2053" s="14">
        <v>45301</v>
      </c>
    </row>
    <row r="2054" spans="1:9" x14ac:dyDescent="0.15">
      <c r="A2054" s="5">
        <v>2053</v>
      </c>
      <c r="B2054" s="6" t="s">
        <v>9</v>
      </c>
      <c r="C2054" s="7">
        <v>1882</v>
      </c>
      <c r="D2054" s="8">
        <v>45388</v>
      </c>
      <c r="E2054" s="9" t="str">
        <f>+HYPERLINK("http://trademark.i-assist.jp/data/china/image_1882th/76299955.pdf","76299955")</f>
        <v>76299955</v>
      </c>
      <c r="F2054" s="6" t="s">
        <v>5670</v>
      </c>
      <c r="G2054" s="6" t="s">
        <v>5671</v>
      </c>
      <c r="H2054" s="8" t="s">
        <v>5672</v>
      </c>
      <c r="I2054" s="14">
        <v>45301</v>
      </c>
    </row>
    <row r="2055" spans="1:9" x14ac:dyDescent="0.15">
      <c r="A2055" s="5">
        <v>2054</v>
      </c>
      <c r="B2055" s="6" t="s">
        <v>9</v>
      </c>
      <c r="C2055" s="7">
        <v>1882</v>
      </c>
      <c r="D2055" s="8">
        <v>45388</v>
      </c>
      <c r="E2055" s="9" t="str">
        <f>+HYPERLINK("http://trademark.i-assist.jp/data/china/image_1882th/76299984.pdf","76299984")</f>
        <v>76299984</v>
      </c>
      <c r="F2055" s="6" t="s">
        <v>5673</v>
      </c>
      <c r="G2055" s="6" t="s">
        <v>5558</v>
      </c>
      <c r="H2055" s="8" t="s">
        <v>5674</v>
      </c>
      <c r="I2055" s="14">
        <v>45301</v>
      </c>
    </row>
    <row r="2056" spans="1:9" x14ac:dyDescent="0.15">
      <c r="A2056" s="5">
        <v>2055</v>
      </c>
      <c r="B2056" s="6" t="s">
        <v>9</v>
      </c>
      <c r="C2056" s="7">
        <v>1882</v>
      </c>
      <c r="D2056" s="8">
        <v>45388</v>
      </c>
      <c r="E2056" s="9" t="str">
        <f>+HYPERLINK("http://trademark.i-assist.jp/data/china/image_1882th/76299991.pdf","76299991")</f>
        <v>76299991</v>
      </c>
      <c r="F2056" s="6" t="s">
        <v>5675</v>
      </c>
      <c r="G2056" s="6" t="s">
        <v>5676</v>
      </c>
      <c r="H2056" s="8" t="s">
        <v>5677</v>
      </c>
      <c r="I2056" s="14">
        <v>45301</v>
      </c>
    </row>
    <row r="2057" spans="1:9" x14ac:dyDescent="0.15">
      <c r="A2057" s="5">
        <v>2056</v>
      </c>
      <c r="B2057" s="6" t="s">
        <v>9</v>
      </c>
      <c r="C2057" s="7">
        <v>1882</v>
      </c>
      <c r="D2057" s="8">
        <v>45388</v>
      </c>
      <c r="E2057" s="9" t="str">
        <f>+HYPERLINK("http://trademark.i-assist.jp/data/china/image_1882th/76300200.pdf","76300200")</f>
        <v>76300200</v>
      </c>
      <c r="F2057" s="6" t="s">
        <v>5678</v>
      </c>
      <c r="G2057" s="6" t="s">
        <v>5679</v>
      </c>
      <c r="H2057" s="8" t="s">
        <v>5680</v>
      </c>
      <c r="I2057" s="14">
        <v>45301</v>
      </c>
    </row>
    <row r="2058" spans="1:9" x14ac:dyDescent="0.15">
      <c r="A2058" s="5">
        <v>2057</v>
      </c>
      <c r="B2058" s="6" t="s">
        <v>9</v>
      </c>
      <c r="C2058" s="7">
        <v>1882</v>
      </c>
      <c r="D2058" s="8">
        <v>45388</v>
      </c>
      <c r="E2058" s="9" t="str">
        <f>+HYPERLINK("http://trademark.i-assist.jp/data/china/image_1882th/76300320.pdf","76300320")</f>
        <v>76300320</v>
      </c>
      <c r="F2058" s="6" t="s">
        <v>5681</v>
      </c>
      <c r="G2058" s="6" t="s">
        <v>5682</v>
      </c>
      <c r="H2058" s="8" t="s">
        <v>5683</v>
      </c>
      <c r="I2058" s="14">
        <v>45301</v>
      </c>
    </row>
    <row r="2059" spans="1:9" x14ac:dyDescent="0.15">
      <c r="A2059" s="5">
        <v>2058</v>
      </c>
      <c r="B2059" s="6" t="s">
        <v>9</v>
      </c>
      <c r="C2059" s="7">
        <v>1882</v>
      </c>
      <c r="D2059" s="8">
        <v>45388</v>
      </c>
      <c r="E2059" s="9" t="str">
        <f>+HYPERLINK("http://trademark.i-assist.jp/data/china/image_1882th/76300369.pdf","76300369")</f>
        <v>76300369</v>
      </c>
      <c r="F2059" s="6" t="s">
        <v>26</v>
      </c>
      <c r="G2059" s="6" t="s">
        <v>5684</v>
      </c>
      <c r="H2059" s="8" t="s">
        <v>5685</v>
      </c>
      <c r="I2059" s="14">
        <v>45301</v>
      </c>
    </row>
    <row r="2060" spans="1:9" x14ac:dyDescent="0.15">
      <c r="A2060" s="5">
        <v>2059</v>
      </c>
      <c r="B2060" s="6" t="s">
        <v>9</v>
      </c>
      <c r="C2060" s="7">
        <v>1882</v>
      </c>
      <c r="D2060" s="8">
        <v>45388</v>
      </c>
      <c r="E2060" s="9" t="str">
        <f>+HYPERLINK("http://trademark.i-assist.jp/data/china/image_1882th/76300414.pdf","76300414")</f>
        <v>76300414</v>
      </c>
      <c r="F2060" s="6" t="s">
        <v>5686</v>
      </c>
      <c r="G2060" s="6" t="s">
        <v>5687</v>
      </c>
      <c r="H2060" s="8" t="s">
        <v>5688</v>
      </c>
      <c r="I2060" s="14">
        <v>45301</v>
      </c>
    </row>
    <row r="2061" spans="1:9" x14ac:dyDescent="0.15">
      <c r="A2061" s="5">
        <v>2060</v>
      </c>
      <c r="B2061" s="6" t="s">
        <v>9</v>
      </c>
      <c r="C2061" s="7">
        <v>1882</v>
      </c>
      <c r="D2061" s="8">
        <v>45388</v>
      </c>
      <c r="E2061" s="9" t="str">
        <f>+HYPERLINK("http://trademark.i-assist.jp/data/china/image_1882th/76300421.pdf","76300421")</f>
        <v>76300421</v>
      </c>
      <c r="F2061" s="6" t="s">
        <v>5689</v>
      </c>
      <c r="G2061" s="6" t="s">
        <v>5690</v>
      </c>
      <c r="H2061" s="8" t="s">
        <v>5691</v>
      </c>
      <c r="I2061" s="14">
        <v>45301</v>
      </c>
    </row>
    <row r="2062" spans="1:9" x14ac:dyDescent="0.15">
      <c r="A2062" s="5">
        <v>2061</v>
      </c>
      <c r="B2062" s="6" t="s">
        <v>9</v>
      </c>
      <c r="C2062" s="7">
        <v>1882</v>
      </c>
      <c r="D2062" s="8">
        <v>45388</v>
      </c>
      <c r="E2062" s="9" t="str">
        <f>+HYPERLINK("http://trademark.i-assist.jp/data/china/image_1882th/76300691.pdf","76300691")</f>
        <v>76300691</v>
      </c>
      <c r="F2062" s="6" t="s">
        <v>5692</v>
      </c>
      <c r="G2062" s="6" t="s">
        <v>5693</v>
      </c>
      <c r="H2062" s="8" t="s">
        <v>5694</v>
      </c>
      <c r="I2062" s="14">
        <v>45301</v>
      </c>
    </row>
    <row r="2063" spans="1:9" x14ac:dyDescent="0.15">
      <c r="A2063" s="5">
        <v>2062</v>
      </c>
      <c r="B2063" s="6" t="s">
        <v>9</v>
      </c>
      <c r="C2063" s="7">
        <v>1882</v>
      </c>
      <c r="D2063" s="8">
        <v>45388</v>
      </c>
      <c r="E2063" s="9" t="str">
        <f>+HYPERLINK("http://trademark.i-assist.jp/data/china/image_1882th/76300841.pdf","76300841")</f>
        <v>76300841</v>
      </c>
      <c r="F2063" s="6" t="s">
        <v>5695</v>
      </c>
      <c r="G2063" s="6" t="s">
        <v>5696</v>
      </c>
      <c r="H2063" s="8" t="s">
        <v>5697</v>
      </c>
      <c r="I2063" s="14">
        <v>45301</v>
      </c>
    </row>
    <row r="2064" spans="1:9" x14ac:dyDescent="0.15">
      <c r="A2064" s="5">
        <v>2063</v>
      </c>
      <c r="B2064" s="6" t="s">
        <v>9</v>
      </c>
      <c r="C2064" s="7">
        <v>1882</v>
      </c>
      <c r="D2064" s="8">
        <v>45388</v>
      </c>
      <c r="E2064" s="9" t="str">
        <f>+HYPERLINK("http://trademark.i-assist.jp/data/china/image_1882th/76300853.pdf","76300853")</f>
        <v>76300853</v>
      </c>
      <c r="F2064" s="6" t="s">
        <v>5698</v>
      </c>
      <c r="G2064" s="6" t="s">
        <v>5699</v>
      </c>
      <c r="H2064" s="8" t="s">
        <v>5700</v>
      </c>
      <c r="I2064" s="14">
        <v>45301</v>
      </c>
    </row>
    <row r="2065" spans="1:9" x14ac:dyDescent="0.15">
      <c r="A2065" s="5">
        <v>2064</v>
      </c>
      <c r="B2065" s="6" t="s">
        <v>9</v>
      </c>
      <c r="C2065" s="7">
        <v>1882</v>
      </c>
      <c r="D2065" s="8">
        <v>45388</v>
      </c>
      <c r="E2065" s="9" t="str">
        <f>+HYPERLINK("http://trademark.i-assist.jp/data/china/image_1882th/76300855.pdf","76300855")</f>
        <v>76300855</v>
      </c>
      <c r="F2065" s="6" t="s">
        <v>5701</v>
      </c>
      <c r="G2065" s="6" t="s">
        <v>5699</v>
      </c>
      <c r="H2065" s="8" t="s">
        <v>5702</v>
      </c>
      <c r="I2065" s="14">
        <v>45301</v>
      </c>
    </row>
    <row r="2066" spans="1:9" x14ac:dyDescent="0.15">
      <c r="A2066" s="5">
        <v>2065</v>
      </c>
      <c r="B2066" s="6" t="s">
        <v>9</v>
      </c>
      <c r="C2066" s="7">
        <v>1882</v>
      </c>
      <c r="D2066" s="8">
        <v>45388</v>
      </c>
      <c r="E2066" s="9" t="str">
        <f>+HYPERLINK("http://trademark.i-assist.jp/data/china/image_1882th/76301025.pdf","76301025")</f>
        <v>76301025</v>
      </c>
      <c r="F2066" s="6" t="s">
        <v>5703</v>
      </c>
      <c r="G2066" s="6" t="s">
        <v>5704</v>
      </c>
      <c r="H2066" s="8" t="s">
        <v>5705</v>
      </c>
      <c r="I2066" s="14">
        <v>45301</v>
      </c>
    </row>
    <row r="2067" spans="1:9" x14ac:dyDescent="0.15">
      <c r="A2067" s="5">
        <v>2066</v>
      </c>
      <c r="B2067" s="6" t="s">
        <v>9</v>
      </c>
      <c r="C2067" s="7">
        <v>1882</v>
      </c>
      <c r="D2067" s="8">
        <v>45388</v>
      </c>
      <c r="E2067" s="9" t="str">
        <f>+HYPERLINK("http://trademark.i-assist.jp/data/china/image_1882th/76301147.pdf","76301147")</f>
        <v>76301147</v>
      </c>
      <c r="F2067" s="6" t="s">
        <v>5706</v>
      </c>
      <c r="G2067" s="6" t="s">
        <v>5707</v>
      </c>
      <c r="H2067" s="8" t="s">
        <v>5708</v>
      </c>
      <c r="I2067" s="14">
        <v>45301</v>
      </c>
    </row>
    <row r="2068" spans="1:9" x14ac:dyDescent="0.15">
      <c r="A2068" s="5">
        <v>2067</v>
      </c>
      <c r="B2068" s="6" t="s">
        <v>9</v>
      </c>
      <c r="C2068" s="7">
        <v>1882</v>
      </c>
      <c r="D2068" s="8">
        <v>45388</v>
      </c>
      <c r="E2068" s="9" t="str">
        <f>+HYPERLINK("http://trademark.i-assist.jp/data/china/image_1882th/76301349.pdf","76301349")</f>
        <v>76301349</v>
      </c>
      <c r="F2068" s="6" t="s">
        <v>5709</v>
      </c>
      <c r="G2068" s="6" t="s">
        <v>5710</v>
      </c>
      <c r="H2068" s="8" t="s">
        <v>5711</v>
      </c>
      <c r="I2068" s="14">
        <v>45301</v>
      </c>
    </row>
    <row r="2069" spans="1:9" x14ac:dyDescent="0.15">
      <c r="A2069" s="5">
        <v>2068</v>
      </c>
      <c r="B2069" s="6" t="s">
        <v>9</v>
      </c>
      <c r="C2069" s="7">
        <v>1882</v>
      </c>
      <c r="D2069" s="8">
        <v>45388</v>
      </c>
      <c r="E2069" s="9" t="str">
        <f>+HYPERLINK("http://trademark.i-assist.jp/data/china/image_1882th/76301607.pdf","76301607")</f>
        <v>76301607</v>
      </c>
      <c r="F2069" s="6" t="s">
        <v>5712</v>
      </c>
      <c r="G2069" s="6" t="s">
        <v>5713</v>
      </c>
      <c r="H2069" s="8" t="s">
        <v>5714</v>
      </c>
      <c r="I2069" s="14">
        <v>45301</v>
      </c>
    </row>
    <row r="2070" spans="1:9" x14ac:dyDescent="0.15">
      <c r="A2070" s="5">
        <v>2069</v>
      </c>
      <c r="B2070" s="6" t="s">
        <v>9</v>
      </c>
      <c r="C2070" s="7">
        <v>1882</v>
      </c>
      <c r="D2070" s="8">
        <v>45388</v>
      </c>
      <c r="E2070" s="9" t="str">
        <f>+HYPERLINK("http://trademark.i-assist.jp/data/china/image_1882th/76301670.pdf","76301670")</f>
        <v>76301670</v>
      </c>
      <c r="F2070" s="6" t="s">
        <v>5715</v>
      </c>
      <c r="G2070" s="6" t="s">
        <v>5716</v>
      </c>
      <c r="H2070" s="8" t="s">
        <v>5717</v>
      </c>
      <c r="I2070" s="14">
        <v>45301</v>
      </c>
    </row>
    <row r="2071" spans="1:9" x14ac:dyDescent="0.15">
      <c r="A2071" s="5">
        <v>2070</v>
      </c>
      <c r="B2071" s="6" t="s">
        <v>9</v>
      </c>
      <c r="C2071" s="7">
        <v>1882</v>
      </c>
      <c r="D2071" s="8">
        <v>45388</v>
      </c>
      <c r="E2071" s="9" t="str">
        <f>+HYPERLINK("http://trademark.i-assist.jp/data/china/image_1882th/76301719.pdf","76301719")</f>
        <v>76301719</v>
      </c>
      <c r="F2071" s="6" t="s">
        <v>5718</v>
      </c>
      <c r="G2071" s="6" t="s">
        <v>5332</v>
      </c>
      <c r="H2071" s="8" t="s">
        <v>5719</v>
      </c>
      <c r="I2071" s="14">
        <v>45301</v>
      </c>
    </row>
    <row r="2072" spans="1:9" x14ac:dyDescent="0.15">
      <c r="A2072" s="5">
        <v>2071</v>
      </c>
      <c r="B2072" s="6" t="s">
        <v>9</v>
      </c>
      <c r="C2072" s="7">
        <v>1882</v>
      </c>
      <c r="D2072" s="8">
        <v>45388</v>
      </c>
      <c r="E2072" s="9" t="str">
        <f>+HYPERLINK("http://trademark.i-assist.jp/data/china/image_1882th/76301939.pdf","76301939")</f>
        <v>76301939</v>
      </c>
      <c r="F2072" s="6" t="s">
        <v>5720</v>
      </c>
      <c r="G2072" s="6" t="s">
        <v>5721</v>
      </c>
      <c r="H2072" s="8" t="s">
        <v>5722</v>
      </c>
      <c r="I2072" s="14">
        <v>45301</v>
      </c>
    </row>
    <row r="2073" spans="1:9" x14ac:dyDescent="0.15">
      <c r="A2073" s="5">
        <v>2072</v>
      </c>
      <c r="B2073" s="6" t="s">
        <v>9</v>
      </c>
      <c r="C2073" s="7">
        <v>1882</v>
      </c>
      <c r="D2073" s="8">
        <v>45388</v>
      </c>
      <c r="E2073" s="9" t="str">
        <f>+HYPERLINK("http://trademark.i-assist.jp/data/china/image_1882th/76301969.pdf","76301969")</f>
        <v>76301969</v>
      </c>
      <c r="F2073" s="6" t="s">
        <v>5723</v>
      </c>
      <c r="G2073" s="6" t="s">
        <v>5724</v>
      </c>
      <c r="H2073" s="8" t="s">
        <v>5725</v>
      </c>
      <c r="I2073" s="14">
        <v>45301</v>
      </c>
    </row>
    <row r="2074" spans="1:9" x14ac:dyDescent="0.15">
      <c r="A2074" s="5">
        <v>2073</v>
      </c>
      <c r="B2074" s="6" t="s">
        <v>9</v>
      </c>
      <c r="C2074" s="7">
        <v>1882</v>
      </c>
      <c r="D2074" s="8">
        <v>45388</v>
      </c>
      <c r="E2074" s="9" t="str">
        <f>+HYPERLINK("http://trademark.i-assist.jp/data/china/image_1882th/76302137.pdf","76302137")</f>
        <v>76302137</v>
      </c>
      <c r="F2074" s="6" t="s">
        <v>5726</v>
      </c>
      <c r="G2074" s="6" t="s">
        <v>5646</v>
      </c>
      <c r="H2074" s="8" t="s">
        <v>5727</v>
      </c>
      <c r="I2074" s="14">
        <v>45301</v>
      </c>
    </row>
    <row r="2075" spans="1:9" x14ac:dyDescent="0.15">
      <c r="A2075" s="5">
        <v>2074</v>
      </c>
      <c r="B2075" s="6" t="s">
        <v>9</v>
      </c>
      <c r="C2075" s="7">
        <v>1882</v>
      </c>
      <c r="D2075" s="8">
        <v>45388</v>
      </c>
      <c r="E2075" s="9" t="str">
        <f>+HYPERLINK("http://trademark.i-assist.jp/data/china/image_1882th/76302331.pdf","76302331")</f>
        <v>76302331</v>
      </c>
      <c r="F2075" s="6" t="s">
        <v>5728</v>
      </c>
      <c r="G2075" s="6" t="s">
        <v>5729</v>
      </c>
      <c r="H2075" s="8" t="s">
        <v>5730</v>
      </c>
      <c r="I2075" s="14">
        <v>45301</v>
      </c>
    </row>
    <row r="2076" spans="1:9" x14ac:dyDescent="0.15">
      <c r="A2076" s="5">
        <v>2075</v>
      </c>
      <c r="B2076" s="6" t="s">
        <v>9</v>
      </c>
      <c r="C2076" s="7">
        <v>1882</v>
      </c>
      <c r="D2076" s="8">
        <v>45388</v>
      </c>
      <c r="E2076" s="9" t="str">
        <f>+HYPERLINK("http://trademark.i-assist.jp/data/china/image_1882th/76302491.pdf","76302491")</f>
        <v>76302491</v>
      </c>
      <c r="F2076" s="6" t="s">
        <v>5731</v>
      </c>
      <c r="G2076" s="6" t="s">
        <v>5481</v>
      </c>
      <c r="H2076" s="8" t="s">
        <v>5732</v>
      </c>
      <c r="I2076" s="14">
        <v>45301</v>
      </c>
    </row>
    <row r="2077" spans="1:9" x14ac:dyDescent="0.15">
      <c r="A2077" s="5">
        <v>2076</v>
      </c>
      <c r="B2077" s="6" t="s">
        <v>9</v>
      </c>
      <c r="C2077" s="7">
        <v>1882</v>
      </c>
      <c r="D2077" s="8">
        <v>45388</v>
      </c>
      <c r="E2077" s="9" t="str">
        <f>+HYPERLINK("http://trademark.i-assist.jp/data/china/image_1882th/76302496.pdf","76302496")</f>
        <v>76302496</v>
      </c>
      <c r="F2077" s="6" t="s">
        <v>5733</v>
      </c>
      <c r="G2077" s="6" t="s">
        <v>5481</v>
      </c>
      <c r="H2077" s="8" t="s">
        <v>5734</v>
      </c>
      <c r="I2077" s="14">
        <v>45301</v>
      </c>
    </row>
    <row r="2078" spans="1:9" x14ac:dyDescent="0.15">
      <c r="A2078" s="5">
        <v>2077</v>
      </c>
      <c r="B2078" s="6" t="s">
        <v>9</v>
      </c>
      <c r="C2078" s="7">
        <v>1882</v>
      </c>
      <c r="D2078" s="8">
        <v>45388</v>
      </c>
      <c r="E2078" s="9" t="str">
        <f>+HYPERLINK("http://trademark.i-assist.jp/data/china/image_1882th/76302510.pdf","76302510")</f>
        <v>76302510</v>
      </c>
      <c r="F2078" s="6" t="s">
        <v>4497</v>
      </c>
      <c r="G2078" s="6" t="s">
        <v>4498</v>
      </c>
      <c r="H2078" s="8" t="s">
        <v>5735</v>
      </c>
      <c r="I2078" s="14">
        <v>45301</v>
      </c>
    </row>
    <row r="2079" spans="1:9" x14ac:dyDescent="0.15">
      <c r="A2079" s="5">
        <v>2078</v>
      </c>
      <c r="B2079" s="6" t="s">
        <v>9</v>
      </c>
      <c r="C2079" s="7">
        <v>1882</v>
      </c>
      <c r="D2079" s="8">
        <v>45388</v>
      </c>
      <c r="E2079" s="9" t="str">
        <f>+HYPERLINK("http://trademark.i-assist.jp/data/china/image_1882th/76302644.pdf","76302644")</f>
        <v>76302644</v>
      </c>
      <c r="F2079" s="6" t="s">
        <v>5736</v>
      </c>
      <c r="G2079" s="6" t="s">
        <v>5737</v>
      </c>
      <c r="H2079" s="8" t="s">
        <v>5738</v>
      </c>
      <c r="I2079" s="14">
        <v>45301</v>
      </c>
    </row>
    <row r="2080" spans="1:9" x14ac:dyDescent="0.15">
      <c r="A2080" s="5">
        <v>2079</v>
      </c>
      <c r="B2080" s="6" t="s">
        <v>9</v>
      </c>
      <c r="C2080" s="7">
        <v>1882</v>
      </c>
      <c r="D2080" s="8">
        <v>45388</v>
      </c>
      <c r="E2080" s="9" t="str">
        <f>+HYPERLINK("http://trademark.i-assist.jp/data/china/image_1882th/76302654.pdf","76302654")</f>
        <v>76302654</v>
      </c>
      <c r="F2080" s="6" t="s">
        <v>5739</v>
      </c>
      <c r="G2080" s="6" t="s">
        <v>5737</v>
      </c>
      <c r="H2080" s="8" t="s">
        <v>5740</v>
      </c>
      <c r="I2080" s="14">
        <v>45301</v>
      </c>
    </row>
    <row r="2081" spans="1:9" x14ac:dyDescent="0.15">
      <c r="A2081" s="5">
        <v>2080</v>
      </c>
      <c r="B2081" s="6" t="s">
        <v>9</v>
      </c>
      <c r="C2081" s="7">
        <v>1882</v>
      </c>
      <c r="D2081" s="8">
        <v>45388</v>
      </c>
      <c r="E2081" s="9" t="str">
        <f>+HYPERLINK("http://trademark.i-assist.jp/data/china/image_1882th/76302710.pdf","76302710")</f>
        <v>76302710</v>
      </c>
      <c r="F2081" s="6" t="s">
        <v>5741</v>
      </c>
      <c r="G2081" s="6" t="s">
        <v>5568</v>
      </c>
      <c r="H2081" s="8" t="s">
        <v>5742</v>
      </c>
      <c r="I2081" s="14">
        <v>45301</v>
      </c>
    </row>
    <row r="2082" spans="1:9" x14ac:dyDescent="0.15">
      <c r="A2082" s="5">
        <v>2081</v>
      </c>
      <c r="B2082" s="6" t="s">
        <v>9</v>
      </c>
      <c r="C2082" s="7">
        <v>1882</v>
      </c>
      <c r="D2082" s="8">
        <v>45388</v>
      </c>
      <c r="E2082" s="9" t="str">
        <f>+HYPERLINK("http://trademark.i-assist.jp/data/china/image_1882th/76302917.pdf","76302917")</f>
        <v>76302917</v>
      </c>
      <c r="F2082" s="6" t="s">
        <v>5743</v>
      </c>
      <c r="G2082" s="6" t="s">
        <v>5744</v>
      </c>
      <c r="H2082" s="8" t="s">
        <v>5745</v>
      </c>
      <c r="I2082" s="14">
        <v>45301</v>
      </c>
    </row>
    <row r="2083" spans="1:9" x14ac:dyDescent="0.15">
      <c r="A2083" s="5">
        <v>2082</v>
      </c>
      <c r="B2083" s="6" t="s">
        <v>9</v>
      </c>
      <c r="C2083" s="7">
        <v>1882</v>
      </c>
      <c r="D2083" s="8">
        <v>45388</v>
      </c>
      <c r="E2083" s="9" t="str">
        <f>+HYPERLINK("http://trademark.i-assist.jp/data/china/image_1882th/76303215.pdf","76303215")</f>
        <v>76303215</v>
      </c>
      <c r="F2083" s="6" t="s">
        <v>5746</v>
      </c>
      <c r="G2083" s="6" t="s">
        <v>5558</v>
      </c>
      <c r="H2083" s="8" t="s">
        <v>5747</v>
      </c>
      <c r="I2083" s="14">
        <v>45301</v>
      </c>
    </row>
    <row r="2084" spans="1:9" x14ac:dyDescent="0.15">
      <c r="A2084" s="5">
        <v>2083</v>
      </c>
      <c r="B2084" s="6" t="s">
        <v>9</v>
      </c>
      <c r="C2084" s="7">
        <v>1882</v>
      </c>
      <c r="D2084" s="8">
        <v>45388</v>
      </c>
      <c r="E2084" s="9" t="str">
        <f>+HYPERLINK("http://trademark.i-assist.jp/data/china/image_1882th/76303243.pdf","76303243")</f>
        <v>76303243</v>
      </c>
      <c r="F2084" s="6" t="s">
        <v>5748</v>
      </c>
      <c r="G2084" s="6" t="s">
        <v>5749</v>
      </c>
      <c r="H2084" s="8" t="s">
        <v>5750</v>
      </c>
      <c r="I2084" s="14">
        <v>45301</v>
      </c>
    </row>
    <row r="2085" spans="1:9" x14ac:dyDescent="0.15">
      <c r="A2085" s="5">
        <v>2084</v>
      </c>
      <c r="B2085" s="6" t="s">
        <v>9</v>
      </c>
      <c r="C2085" s="7">
        <v>1882</v>
      </c>
      <c r="D2085" s="8">
        <v>45388</v>
      </c>
      <c r="E2085" s="9" t="str">
        <f>+HYPERLINK("http://trademark.i-assist.jp/data/china/image_1882th/76303478.pdf","76303478")</f>
        <v>76303478</v>
      </c>
      <c r="F2085" s="6" t="s">
        <v>5751</v>
      </c>
      <c r="G2085" s="6" t="s">
        <v>5752</v>
      </c>
      <c r="H2085" s="8" t="s">
        <v>5753</v>
      </c>
      <c r="I2085" s="14">
        <v>45301</v>
      </c>
    </row>
    <row r="2086" spans="1:9" x14ac:dyDescent="0.15">
      <c r="A2086" s="5">
        <v>2085</v>
      </c>
      <c r="B2086" s="6" t="s">
        <v>9</v>
      </c>
      <c r="C2086" s="7">
        <v>1882</v>
      </c>
      <c r="D2086" s="8">
        <v>45388</v>
      </c>
      <c r="E2086" s="9" t="str">
        <f>+HYPERLINK("http://trademark.i-assist.jp/data/china/image_1882th/76303534.pdf","76303534")</f>
        <v>76303534</v>
      </c>
      <c r="F2086" s="6" t="s">
        <v>5754</v>
      </c>
      <c r="G2086" s="6" t="s">
        <v>5755</v>
      </c>
      <c r="H2086" s="8" t="s">
        <v>5756</v>
      </c>
      <c r="I2086" s="14">
        <v>45301</v>
      </c>
    </row>
    <row r="2087" spans="1:9" x14ac:dyDescent="0.15">
      <c r="A2087" s="5">
        <v>2086</v>
      </c>
      <c r="B2087" s="6" t="s">
        <v>9</v>
      </c>
      <c r="C2087" s="7">
        <v>1882</v>
      </c>
      <c r="D2087" s="8">
        <v>45388</v>
      </c>
      <c r="E2087" s="9" t="str">
        <f>+HYPERLINK("http://trademark.i-assist.jp/data/china/image_1882th/76303827.pdf","76303827")</f>
        <v>76303827</v>
      </c>
      <c r="F2087" s="6" t="s">
        <v>5757</v>
      </c>
      <c r="G2087" s="6" t="s">
        <v>5758</v>
      </c>
      <c r="H2087" s="8" t="s">
        <v>5759</v>
      </c>
      <c r="I2087" s="14">
        <v>45301</v>
      </c>
    </row>
    <row r="2088" spans="1:9" x14ac:dyDescent="0.15">
      <c r="A2088" s="5">
        <v>2087</v>
      </c>
      <c r="B2088" s="6" t="s">
        <v>9</v>
      </c>
      <c r="C2088" s="7">
        <v>1882</v>
      </c>
      <c r="D2088" s="8">
        <v>45388</v>
      </c>
      <c r="E2088" s="9" t="str">
        <f>+HYPERLINK("http://trademark.i-assist.jp/data/china/image_1882th/76303891.pdf","76303891")</f>
        <v>76303891</v>
      </c>
      <c r="F2088" s="6" t="s">
        <v>5760</v>
      </c>
      <c r="G2088" s="6" t="s">
        <v>5761</v>
      </c>
      <c r="H2088" s="8" t="s">
        <v>5762</v>
      </c>
      <c r="I2088" s="14">
        <v>45301</v>
      </c>
    </row>
    <row r="2089" spans="1:9" x14ac:dyDescent="0.15">
      <c r="A2089" s="5">
        <v>2088</v>
      </c>
      <c r="B2089" s="6" t="s">
        <v>9</v>
      </c>
      <c r="C2089" s="7">
        <v>1882</v>
      </c>
      <c r="D2089" s="8">
        <v>45388</v>
      </c>
      <c r="E2089" s="9" t="str">
        <f>+HYPERLINK("http://trademark.i-assist.jp/data/china/image_1882th/76303957.pdf","76303957")</f>
        <v>76303957</v>
      </c>
      <c r="F2089" s="6" t="s">
        <v>5763</v>
      </c>
      <c r="G2089" s="6" t="s">
        <v>5666</v>
      </c>
      <c r="H2089" s="8" t="s">
        <v>5764</v>
      </c>
      <c r="I2089" s="14">
        <v>45301</v>
      </c>
    </row>
    <row r="2090" spans="1:9" x14ac:dyDescent="0.15">
      <c r="A2090" s="5">
        <v>2089</v>
      </c>
      <c r="B2090" s="6" t="s">
        <v>9</v>
      </c>
      <c r="C2090" s="7">
        <v>1882</v>
      </c>
      <c r="D2090" s="8">
        <v>45388</v>
      </c>
      <c r="E2090" s="9" t="str">
        <f>+HYPERLINK("http://trademark.i-assist.jp/data/china/image_1882th/76304176.pdf","76304176")</f>
        <v>76304176</v>
      </c>
      <c r="F2090" s="6" t="s">
        <v>5765</v>
      </c>
      <c r="G2090" s="6" t="s">
        <v>5766</v>
      </c>
      <c r="H2090" s="8" t="s">
        <v>5767</v>
      </c>
      <c r="I2090" s="14">
        <v>45301</v>
      </c>
    </row>
    <row r="2091" spans="1:9" x14ac:dyDescent="0.15">
      <c r="A2091" s="5">
        <v>2090</v>
      </c>
      <c r="B2091" s="6" t="s">
        <v>9</v>
      </c>
      <c r="C2091" s="7">
        <v>1882</v>
      </c>
      <c r="D2091" s="8">
        <v>45388</v>
      </c>
      <c r="E2091" s="9" t="str">
        <f>+HYPERLINK("http://trademark.i-assist.jp/data/china/image_1882th/76304183.pdf","76304183")</f>
        <v>76304183</v>
      </c>
      <c r="F2091" s="6" t="s">
        <v>5768</v>
      </c>
      <c r="G2091" s="6" t="s">
        <v>5769</v>
      </c>
      <c r="H2091" s="8" t="s">
        <v>5770</v>
      </c>
      <c r="I2091" s="14">
        <v>45301</v>
      </c>
    </row>
    <row r="2092" spans="1:9" x14ac:dyDescent="0.15">
      <c r="A2092" s="5">
        <v>2091</v>
      </c>
      <c r="B2092" s="6" t="s">
        <v>9</v>
      </c>
      <c r="C2092" s="7">
        <v>1882</v>
      </c>
      <c r="D2092" s="8">
        <v>45388</v>
      </c>
      <c r="E2092" s="9" t="str">
        <f>+HYPERLINK("http://trademark.i-assist.jp/data/china/image_1882th/76304198.pdf","76304198")</f>
        <v>76304198</v>
      </c>
      <c r="F2092" s="6" t="s">
        <v>5771</v>
      </c>
      <c r="G2092" s="6" t="s">
        <v>5087</v>
      </c>
      <c r="H2092" s="8" t="s">
        <v>5772</v>
      </c>
      <c r="I2092" s="14">
        <v>45301</v>
      </c>
    </row>
    <row r="2093" spans="1:9" x14ac:dyDescent="0.15">
      <c r="A2093" s="5">
        <v>2092</v>
      </c>
      <c r="B2093" s="6" t="s">
        <v>9</v>
      </c>
      <c r="C2093" s="7">
        <v>1882</v>
      </c>
      <c r="D2093" s="8">
        <v>45388</v>
      </c>
      <c r="E2093" s="9" t="str">
        <f>+HYPERLINK("http://trademark.i-assist.jp/data/china/image_1882th/76304204.pdf","76304204")</f>
        <v>76304204</v>
      </c>
      <c r="F2093" s="6" t="s">
        <v>5773</v>
      </c>
      <c r="G2093" s="6" t="s">
        <v>5774</v>
      </c>
      <c r="H2093" s="8" t="s">
        <v>5775</v>
      </c>
      <c r="I2093" s="14">
        <v>45301</v>
      </c>
    </row>
    <row r="2094" spans="1:9" x14ac:dyDescent="0.15">
      <c r="A2094" s="5">
        <v>2093</v>
      </c>
      <c r="B2094" s="6" t="s">
        <v>9</v>
      </c>
      <c r="C2094" s="7">
        <v>1882</v>
      </c>
      <c r="D2094" s="8">
        <v>45388</v>
      </c>
      <c r="E2094" s="9" t="str">
        <f>+HYPERLINK("http://trademark.i-assist.jp/data/china/image_1882th/76304314.pdf","76304314")</f>
        <v>76304314</v>
      </c>
      <c r="F2094" s="6" t="s">
        <v>5776</v>
      </c>
      <c r="G2094" s="6" t="s">
        <v>5568</v>
      </c>
      <c r="H2094" s="8" t="s">
        <v>5777</v>
      </c>
      <c r="I2094" s="14">
        <v>45301</v>
      </c>
    </row>
    <row r="2095" spans="1:9" x14ac:dyDescent="0.15">
      <c r="A2095" s="5">
        <v>2094</v>
      </c>
      <c r="B2095" s="6" t="s">
        <v>9</v>
      </c>
      <c r="C2095" s="7">
        <v>1882</v>
      </c>
      <c r="D2095" s="8">
        <v>45388</v>
      </c>
      <c r="E2095" s="9" t="str">
        <f>+HYPERLINK("http://trademark.i-assist.jp/data/china/image_1882th/76304479.pdf","76304479")</f>
        <v>76304479</v>
      </c>
      <c r="F2095" s="6" t="s">
        <v>5778</v>
      </c>
      <c r="G2095" s="6" t="s">
        <v>5779</v>
      </c>
      <c r="H2095" s="8" t="s">
        <v>5780</v>
      </c>
      <c r="I2095" s="14">
        <v>45301</v>
      </c>
    </row>
    <row r="2096" spans="1:9" x14ac:dyDescent="0.15">
      <c r="A2096" s="5">
        <v>2095</v>
      </c>
      <c r="B2096" s="6" t="s">
        <v>9</v>
      </c>
      <c r="C2096" s="7">
        <v>1882</v>
      </c>
      <c r="D2096" s="8">
        <v>45388</v>
      </c>
      <c r="E2096" s="9" t="str">
        <f>+HYPERLINK("http://trademark.i-assist.jp/data/china/image_1882th/76304564.pdf","76304564")</f>
        <v>76304564</v>
      </c>
      <c r="F2096" s="6" t="s">
        <v>5781</v>
      </c>
      <c r="G2096" s="6" t="s">
        <v>5782</v>
      </c>
      <c r="H2096" s="8" t="s">
        <v>5783</v>
      </c>
      <c r="I2096" s="14">
        <v>45301</v>
      </c>
    </row>
    <row r="2097" spans="1:9" x14ac:dyDescent="0.15">
      <c r="A2097" s="5">
        <v>2096</v>
      </c>
      <c r="B2097" s="6" t="s">
        <v>9</v>
      </c>
      <c r="C2097" s="7">
        <v>1882</v>
      </c>
      <c r="D2097" s="8">
        <v>45388</v>
      </c>
      <c r="E2097" s="9" t="str">
        <f>+HYPERLINK("http://trademark.i-assist.jp/data/china/image_1882th/76304592.pdf","76304592")</f>
        <v>76304592</v>
      </c>
      <c r="F2097" s="6" t="s">
        <v>5784</v>
      </c>
      <c r="G2097" s="6" t="s">
        <v>5785</v>
      </c>
      <c r="H2097" s="8" t="s">
        <v>5786</v>
      </c>
      <c r="I2097" s="14">
        <v>45301</v>
      </c>
    </row>
    <row r="2098" spans="1:9" x14ac:dyDescent="0.15">
      <c r="A2098" s="5">
        <v>2097</v>
      </c>
      <c r="B2098" s="6" t="s">
        <v>9</v>
      </c>
      <c r="C2098" s="7">
        <v>1882</v>
      </c>
      <c r="D2098" s="8">
        <v>45388</v>
      </c>
      <c r="E2098" s="9" t="str">
        <f>+HYPERLINK("http://trademark.i-assist.jp/data/china/image_1882th/76304787.pdf","76304787")</f>
        <v>76304787</v>
      </c>
      <c r="F2098" s="6" t="s">
        <v>5787</v>
      </c>
      <c r="G2098" s="6" t="s">
        <v>5788</v>
      </c>
      <c r="H2098" s="8" t="s">
        <v>5789</v>
      </c>
      <c r="I2098" s="14">
        <v>45301</v>
      </c>
    </row>
    <row r="2099" spans="1:9" x14ac:dyDescent="0.15">
      <c r="A2099" s="5">
        <v>2098</v>
      </c>
      <c r="B2099" s="6" t="s">
        <v>9</v>
      </c>
      <c r="C2099" s="7">
        <v>1882</v>
      </c>
      <c r="D2099" s="8">
        <v>45388</v>
      </c>
      <c r="E2099" s="9" t="str">
        <f>+HYPERLINK("http://trademark.i-assist.jp/data/china/image_1882th/76304973.pdf","76304973")</f>
        <v>76304973</v>
      </c>
      <c r="F2099" s="6" t="s">
        <v>5790</v>
      </c>
      <c r="G2099" s="6" t="s">
        <v>5791</v>
      </c>
      <c r="H2099" s="8" t="s">
        <v>5792</v>
      </c>
      <c r="I2099" s="14">
        <v>45301</v>
      </c>
    </row>
    <row r="2100" spans="1:9" x14ac:dyDescent="0.15">
      <c r="A2100" s="5">
        <v>2099</v>
      </c>
      <c r="B2100" s="6" t="s">
        <v>9</v>
      </c>
      <c r="C2100" s="7">
        <v>1882</v>
      </c>
      <c r="D2100" s="8">
        <v>45388</v>
      </c>
      <c r="E2100" s="9" t="str">
        <f>+HYPERLINK("http://trademark.i-assist.jp/data/china/image_1882th/76305029.pdf","76305029")</f>
        <v>76305029</v>
      </c>
      <c r="F2100" s="6" t="s">
        <v>5793</v>
      </c>
      <c r="G2100" s="6" t="s">
        <v>5794</v>
      </c>
      <c r="H2100" s="8" t="s">
        <v>5795</v>
      </c>
      <c r="I2100" s="14">
        <v>45301</v>
      </c>
    </row>
    <row r="2101" spans="1:9" x14ac:dyDescent="0.15">
      <c r="A2101" s="5">
        <v>2100</v>
      </c>
      <c r="B2101" s="6" t="s">
        <v>9</v>
      </c>
      <c r="C2101" s="7">
        <v>1882</v>
      </c>
      <c r="D2101" s="8">
        <v>45388</v>
      </c>
      <c r="E2101" s="9" t="str">
        <f>+HYPERLINK("http://trademark.i-assist.jp/data/china/image_1882th/76305063.pdf","76305063")</f>
        <v>76305063</v>
      </c>
      <c r="F2101" s="6" t="s">
        <v>5796</v>
      </c>
      <c r="G2101" s="6" t="s">
        <v>5797</v>
      </c>
      <c r="H2101" s="8" t="s">
        <v>5798</v>
      </c>
      <c r="I2101" s="14">
        <v>45301</v>
      </c>
    </row>
    <row r="2102" spans="1:9" x14ac:dyDescent="0.15">
      <c r="A2102" s="5">
        <v>2101</v>
      </c>
      <c r="B2102" s="6" t="s">
        <v>9</v>
      </c>
      <c r="C2102" s="7">
        <v>1882</v>
      </c>
      <c r="D2102" s="8">
        <v>45388</v>
      </c>
      <c r="E2102" s="9" t="str">
        <f>+HYPERLINK("http://trademark.i-assist.jp/data/china/image_1882th/76305124.pdf","76305124")</f>
        <v>76305124</v>
      </c>
      <c r="F2102" s="6" t="s">
        <v>5799</v>
      </c>
      <c r="G2102" s="6" t="s">
        <v>5800</v>
      </c>
      <c r="H2102" s="8" t="s">
        <v>5801</v>
      </c>
      <c r="I2102" s="14">
        <v>45301</v>
      </c>
    </row>
    <row r="2103" spans="1:9" x14ac:dyDescent="0.15">
      <c r="A2103" s="5">
        <v>2102</v>
      </c>
      <c r="B2103" s="6" t="s">
        <v>9</v>
      </c>
      <c r="C2103" s="7">
        <v>1882</v>
      </c>
      <c r="D2103" s="8">
        <v>45388</v>
      </c>
      <c r="E2103" s="9" t="str">
        <f>+HYPERLINK("http://trademark.i-assist.jp/data/china/image_1882th/76305306.pdf","76305306")</f>
        <v>76305306</v>
      </c>
      <c r="F2103" s="6" t="s">
        <v>5802</v>
      </c>
      <c r="G2103" s="6" t="s">
        <v>5803</v>
      </c>
      <c r="H2103" s="8" t="s">
        <v>5804</v>
      </c>
      <c r="I2103" s="14">
        <v>45301</v>
      </c>
    </row>
    <row r="2104" spans="1:9" x14ac:dyDescent="0.15">
      <c r="A2104" s="5">
        <v>2103</v>
      </c>
      <c r="B2104" s="6" t="s">
        <v>9</v>
      </c>
      <c r="C2104" s="7">
        <v>1882</v>
      </c>
      <c r="D2104" s="8">
        <v>45388</v>
      </c>
      <c r="E2104" s="9" t="str">
        <f>+HYPERLINK("http://trademark.i-assist.jp/data/china/image_1882th/76305411.pdf","76305411")</f>
        <v>76305411</v>
      </c>
      <c r="F2104" s="6" t="s">
        <v>5805</v>
      </c>
      <c r="G2104" s="6" t="s">
        <v>5806</v>
      </c>
      <c r="H2104" s="8" t="s">
        <v>5807</v>
      </c>
      <c r="I2104" s="14">
        <v>45301</v>
      </c>
    </row>
    <row r="2105" spans="1:9" x14ac:dyDescent="0.15">
      <c r="A2105" s="5">
        <v>2104</v>
      </c>
      <c r="B2105" s="6" t="s">
        <v>9</v>
      </c>
      <c r="C2105" s="7">
        <v>1882</v>
      </c>
      <c r="D2105" s="8">
        <v>45388</v>
      </c>
      <c r="E2105" s="9" t="str">
        <f>+HYPERLINK("http://trademark.i-assist.jp/data/china/image_1882th/76305500.pdf","76305500")</f>
        <v>76305500</v>
      </c>
      <c r="F2105" s="6" t="s">
        <v>5808</v>
      </c>
      <c r="G2105" s="6" t="s">
        <v>5481</v>
      </c>
      <c r="H2105" s="8" t="s">
        <v>5809</v>
      </c>
      <c r="I2105" s="14">
        <v>45301</v>
      </c>
    </row>
    <row r="2106" spans="1:9" x14ac:dyDescent="0.15">
      <c r="A2106" s="5">
        <v>2105</v>
      </c>
      <c r="B2106" s="6" t="s">
        <v>9</v>
      </c>
      <c r="C2106" s="7">
        <v>1882</v>
      </c>
      <c r="D2106" s="8">
        <v>45388</v>
      </c>
      <c r="E2106" s="9" t="str">
        <f>+HYPERLINK("http://trademark.i-assist.jp/data/china/image_1882th/76305520.pdf","76305520")</f>
        <v>76305520</v>
      </c>
      <c r="F2106" s="6" t="s">
        <v>5810</v>
      </c>
      <c r="G2106" s="6" t="s">
        <v>5481</v>
      </c>
      <c r="H2106" s="8" t="s">
        <v>5811</v>
      </c>
      <c r="I2106" s="14">
        <v>45301</v>
      </c>
    </row>
    <row r="2107" spans="1:9" x14ac:dyDescent="0.15">
      <c r="A2107" s="5">
        <v>2106</v>
      </c>
      <c r="B2107" s="6" t="s">
        <v>9</v>
      </c>
      <c r="C2107" s="7">
        <v>1882</v>
      </c>
      <c r="D2107" s="8">
        <v>45388</v>
      </c>
      <c r="E2107" s="9" t="str">
        <f>+HYPERLINK("http://trademark.i-assist.jp/data/china/image_1882th/76305673.pdf","76305673")</f>
        <v>76305673</v>
      </c>
      <c r="F2107" s="6" t="s">
        <v>5812</v>
      </c>
      <c r="G2107" s="6" t="s">
        <v>5813</v>
      </c>
      <c r="H2107" s="8" t="s">
        <v>5814</v>
      </c>
      <c r="I2107" s="14">
        <v>45301</v>
      </c>
    </row>
    <row r="2108" spans="1:9" x14ac:dyDescent="0.15">
      <c r="A2108" s="5">
        <v>2107</v>
      </c>
      <c r="B2108" s="6" t="s">
        <v>9</v>
      </c>
      <c r="C2108" s="7">
        <v>1882</v>
      </c>
      <c r="D2108" s="8">
        <v>45388</v>
      </c>
      <c r="E2108" s="9" t="str">
        <f>+HYPERLINK("http://trademark.i-assist.jp/data/china/image_1882th/76305807.pdf","76305807")</f>
        <v>76305807</v>
      </c>
      <c r="F2108" s="6" t="s">
        <v>5815</v>
      </c>
      <c r="G2108" s="6" t="s">
        <v>5816</v>
      </c>
      <c r="H2108" s="8" t="s">
        <v>5817</v>
      </c>
      <c r="I2108" s="14">
        <v>45301</v>
      </c>
    </row>
    <row r="2109" spans="1:9" x14ac:dyDescent="0.15">
      <c r="A2109" s="5">
        <v>2108</v>
      </c>
      <c r="B2109" s="6" t="s">
        <v>9</v>
      </c>
      <c r="C2109" s="7">
        <v>1882</v>
      </c>
      <c r="D2109" s="8">
        <v>45388</v>
      </c>
      <c r="E2109" s="9" t="str">
        <f>+HYPERLINK("http://trademark.i-assist.jp/data/china/image_1882th/76305827.pdf","76305827")</f>
        <v>76305827</v>
      </c>
      <c r="F2109" s="6" t="s">
        <v>5818</v>
      </c>
      <c r="G2109" s="6" t="s">
        <v>5558</v>
      </c>
      <c r="H2109" s="8" t="s">
        <v>5819</v>
      </c>
      <c r="I2109" s="14">
        <v>45301</v>
      </c>
    </row>
    <row r="2110" spans="1:9" x14ac:dyDescent="0.15">
      <c r="A2110" s="5">
        <v>2109</v>
      </c>
      <c r="B2110" s="6" t="s">
        <v>9</v>
      </c>
      <c r="C2110" s="7">
        <v>1882</v>
      </c>
      <c r="D2110" s="8">
        <v>45388</v>
      </c>
      <c r="E2110" s="9" t="str">
        <f>+HYPERLINK("http://trademark.i-assist.jp/data/china/image_1882th/76305839.pdf","76305839")</f>
        <v>76305839</v>
      </c>
      <c r="F2110" s="6" t="s">
        <v>5820</v>
      </c>
      <c r="G2110" s="6" t="s">
        <v>5785</v>
      </c>
      <c r="H2110" s="8" t="s">
        <v>5821</v>
      </c>
      <c r="I2110" s="14">
        <v>45301</v>
      </c>
    </row>
    <row r="2111" spans="1:9" x14ac:dyDescent="0.15">
      <c r="A2111" s="5">
        <v>2110</v>
      </c>
      <c r="B2111" s="6" t="s">
        <v>9</v>
      </c>
      <c r="C2111" s="7">
        <v>1882</v>
      </c>
      <c r="D2111" s="8">
        <v>45388</v>
      </c>
      <c r="E2111" s="9" t="str">
        <f>+HYPERLINK("http://trademark.i-assist.jp/data/china/image_1882th/76305853.pdf","76305853")</f>
        <v>76305853</v>
      </c>
      <c r="F2111" s="6" t="s">
        <v>5822</v>
      </c>
      <c r="G2111" s="6" t="s">
        <v>5823</v>
      </c>
      <c r="H2111" s="8" t="s">
        <v>5824</v>
      </c>
      <c r="I2111" s="14">
        <v>45301</v>
      </c>
    </row>
    <row r="2112" spans="1:9" x14ac:dyDescent="0.15">
      <c r="A2112" s="5">
        <v>2111</v>
      </c>
      <c r="B2112" s="6" t="s">
        <v>9</v>
      </c>
      <c r="C2112" s="7">
        <v>1882</v>
      </c>
      <c r="D2112" s="8">
        <v>45388</v>
      </c>
      <c r="E2112" s="9" t="str">
        <f>+HYPERLINK("http://trademark.i-assist.jp/data/china/image_1882th/76305874.pdf","76305874")</f>
        <v>76305874</v>
      </c>
      <c r="F2112" s="6" t="s">
        <v>5825</v>
      </c>
      <c r="G2112" s="6" t="s">
        <v>5558</v>
      </c>
      <c r="H2112" s="8" t="s">
        <v>5826</v>
      </c>
      <c r="I2112" s="14">
        <v>45301</v>
      </c>
    </row>
    <row r="2113" spans="1:9" x14ac:dyDescent="0.15">
      <c r="A2113" s="5">
        <v>2112</v>
      </c>
      <c r="B2113" s="6" t="s">
        <v>9</v>
      </c>
      <c r="C2113" s="7">
        <v>1882</v>
      </c>
      <c r="D2113" s="8">
        <v>45388</v>
      </c>
      <c r="E2113" s="9" t="str">
        <f>+HYPERLINK("http://trademark.i-assist.jp/data/china/image_1882th/76306037.pdf","76306037")</f>
        <v>76306037</v>
      </c>
      <c r="F2113" s="6" t="s">
        <v>5827</v>
      </c>
      <c r="G2113" s="6" t="s">
        <v>5803</v>
      </c>
      <c r="H2113" s="8" t="s">
        <v>5828</v>
      </c>
      <c r="I2113" s="14">
        <v>45301</v>
      </c>
    </row>
    <row r="2114" spans="1:9" x14ac:dyDescent="0.15">
      <c r="A2114" s="5">
        <v>2113</v>
      </c>
      <c r="B2114" s="6" t="s">
        <v>9</v>
      </c>
      <c r="C2114" s="7">
        <v>1882</v>
      </c>
      <c r="D2114" s="8">
        <v>45388</v>
      </c>
      <c r="E2114" s="9" t="str">
        <f>+HYPERLINK("http://trademark.i-assist.jp/data/china/image_1882th/76306454.pdf","76306454")</f>
        <v>76306454</v>
      </c>
      <c r="F2114" s="6" t="s">
        <v>5829</v>
      </c>
      <c r="G2114" s="6" t="s">
        <v>5830</v>
      </c>
      <c r="H2114" s="8" t="s">
        <v>5831</v>
      </c>
      <c r="I2114" s="14">
        <v>45301</v>
      </c>
    </row>
    <row r="2115" spans="1:9" x14ac:dyDescent="0.15">
      <c r="A2115" s="5">
        <v>2114</v>
      </c>
      <c r="B2115" s="6" t="s">
        <v>9</v>
      </c>
      <c r="C2115" s="7">
        <v>1882</v>
      </c>
      <c r="D2115" s="8">
        <v>45388</v>
      </c>
      <c r="E2115" s="9" t="str">
        <f>+HYPERLINK("http://trademark.i-assist.jp/data/china/image_1882th/76306543.pdf","76306543")</f>
        <v>76306543</v>
      </c>
      <c r="F2115" s="6" t="s">
        <v>5832</v>
      </c>
      <c r="G2115" s="6" t="s">
        <v>5504</v>
      </c>
      <c r="H2115" s="8" t="s">
        <v>5833</v>
      </c>
      <c r="I2115" s="14">
        <v>45301</v>
      </c>
    </row>
    <row r="2116" spans="1:9" x14ac:dyDescent="0.15">
      <c r="A2116" s="5">
        <v>2115</v>
      </c>
      <c r="B2116" s="6" t="s">
        <v>9</v>
      </c>
      <c r="C2116" s="7">
        <v>1882</v>
      </c>
      <c r="D2116" s="8">
        <v>45388</v>
      </c>
      <c r="E2116" s="9" t="str">
        <f>+HYPERLINK("http://trademark.i-assist.jp/data/china/image_1882th/76306551.pdf","76306551")</f>
        <v>76306551</v>
      </c>
      <c r="F2116" s="6" t="s">
        <v>5834</v>
      </c>
      <c r="G2116" s="6" t="s">
        <v>5835</v>
      </c>
      <c r="H2116" s="8" t="s">
        <v>5836</v>
      </c>
      <c r="I2116" s="14">
        <v>45301</v>
      </c>
    </row>
    <row r="2117" spans="1:9" x14ac:dyDescent="0.15">
      <c r="A2117" s="5">
        <v>2116</v>
      </c>
      <c r="B2117" s="6" t="s">
        <v>9</v>
      </c>
      <c r="C2117" s="7">
        <v>1882</v>
      </c>
      <c r="D2117" s="8">
        <v>45388</v>
      </c>
      <c r="E2117" s="9" t="str">
        <f>+HYPERLINK("http://trademark.i-assist.jp/data/china/image_1882th/76306657.pdf","76306657")</f>
        <v>76306657</v>
      </c>
      <c r="F2117" s="6" t="s">
        <v>5837</v>
      </c>
      <c r="G2117" s="6" t="s">
        <v>5607</v>
      </c>
      <c r="H2117" s="8" t="s">
        <v>5838</v>
      </c>
      <c r="I2117" s="14">
        <v>45301</v>
      </c>
    </row>
    <row r="2118" spans="1:9" x14ac:dyDescent="0.15">
      <c r="A2118" s="5">
        <v>2117</v>
      </c>
      <c r="B2118" s="6" t="s">
        <v>9</v>
      </c>
      <c r="C2118" s="7">
        <v>1882</v>
      </c>
      <c r="D2118" s="8">
        <v>45388</v>
      </c>
      <c r="E2118" s="9" t="str">
        <f>+HYPERLINK("http://trademark.i-assist.jp/data/china/image_1882th/76306693.pdf","76306693")</f>
        <v>76306693</v>
      </c>
      <c r="F2118" s="6" t="s">
        <v>5839</v>
      </c>
      <c r="G2118" s="6" t="s">
        <v>5481</v>
      </c>
      <c r="H2118" s="8" t="s">
        <v>5840</v>
      </c>
      <c r="I2118" s="14">
        <v>45301</v>
      </c>
    </row>
    <row r="2119" spans="1:9" x14ac:dyDescent="0.15">
      <c r="A2119" s="5">
        <v>2118</v>
      </c>
      <c r="B2119" s="6" t="s">
        <v>9</v>
      </c>
      <c r="C2119" s="7">
        <v>1882</v>
      </c>
      <c r="D2119" s="8">
        <v>45388</v>
      </c>
      <c r="E2119" s="9" t="str">
        <f>+HYPERLINK("http://trademark.i-assist.jp/data/china/image_1882th/76306706.pdf","76306706")</f>
        <v>76306706</v>
      </c>
      <c r="F2119" s="6" t="s">
        <v>5841</v>
      </c>
      <c r="G2119" s="6" t="s">
        <v>5842</v>
      </c>
      <c r="H2119" s="8" t="s">
        <v>5843</v>
      </c>
      <c r="I2119" s="14">
        <v>45301</v>
      </c>
    </row>
    <row r="2120" spans="1:9" x14ac:dyDescent="0.15">
      <c r="A2120" s="5">
        <v>2119</v>
      </c>
      <c r="B2120" s="6" t="s">
        <v>9</v>
      </c>
      <c r="C2120" s="7">
        <v>1882</v>
      </c>
      <c r="D2120" s="8">
        <v>45388</v>
      </c>
      <c r="E2120" s="9" t="str">
        <f>+HYPERLINK("http://trademark.i-assist.jp/data/china/image_1882th/76306766.pdf","76306766")</f>
        <v>76306766</v>
      </c>
      <c r="F2120" s="6" t="s">
        <v>5517</v>
      </c>
      <c r="G2120" s="6" t="s">
        <v>5518</v>
      </c>
      <c r="H2120" s="8" t="s">
        <v>5844</v>
      </c>
      <c r="I2120" s="14">
        <v>45301</v>
      </c>
    </row>
    <row r="2121" spans="1:9" x14ac:dyDescent="0.15">
      <c r="A2121" s="5">
        <v>2120</v>
      </c>
      <c r="B2121" s="6" t="s">
        <v>9</v>
      </c>
      <c r="C2121" s="7">
        <v>1882</v>
      </c>
      <c r="D2121" s="8">
        <v>45388</v>
      </c>
      <c r="E2121" s="9" t="str">
        <f>+HYPERLINK("http://trademark.i-assist.jp/data/china/image_1882th/76306792.pdf","76306792")</f>
        <v>76306792</v>
      </c>
      <c r="F2121" s="6" t="s">
        <v>5845</v>
      </c>
      <c r="G2121" s="6" t="s">
        <v>5846</v>
      </c>
      <c r="H2121" s="8" t="s">
        <v>5847</v>
      </c>
      <c r="I2121" s="14">
        <v>45301</v>
      </c>
    </row>
    <row r="2122" spans="1:9" x14ac:dyDescent="0.15">
      <c r="A2122" s="5">
        <v>2121</v>
      </c>
      <c r="B2122" s="6" t="s">
        <v>9</v>
      </c>
      <c r="C2122" s="7">
        <v>1882</v>
      </c>
      <c r="D2122" s="8">
        <v>45388</v>
      </c>
      <c r="E2122" s="9" t="str">
        <f>+HYPERLINK("http://trademark.i-assist.jp/data/china/image_1882th/76306802.pdf","76306802")</f>
        <v>76306802</v>
      </c>
      <c r="F2122" s="6" t="s">
        <v>5848</v>
      </c>
      <c r="G2122" s="6" t="s">
        <v>5849</v>
      </c>
      <c r="H2122" s="8" t="s">
        <v>5850</v>
      </c>
      <c r="I2122" s="14">
        <v>45301</v>
      </c>
    </row>
    <row r="2123" spans="1:9" x14ac:dyDescent="0.15">
      <c r="A2123" s="5">
        <v>2122</v>
      </c>
      <c r="B2123" s="6" t="s">
        <v>9</v>
      </c>
      <c r="C2123" s="7">
        <v>1882</v>
      </c>
      <c r="D2123" s="8">
        <v>45388</v>
      </c>
      <c r="E2123" s="9" t="str">
        <f>+HYPERLINK("http://trademark.i-assist.jp/data/china/image_1882th/76306855.pdf","76306855")</f>
        <v>76306855</v>
      </c>
      <c r="F2123" s="6" t="s">
        <v>5851</v>
      </c>
      <c r="G2123" s="6" t="s">
        <v>5481</v>
      </c>
      <c r="H2123" s="8" t="s">
        <v>5852</v>
      </c>
      <c r="I2123" s="14">
        <v>45301</v>
      </c>
    </row>
    <row r="2124" spans="1:9" x14ac:dyDescent="0.15">
      <c r="A2124" s="5">
        <v>2123</v>
      </c>
      <c r="B2124" s="6" t="s">
        <v>9</v>
      </c>
      <c r="C2124" s="7">
        <v>1882</v>
      </c>
      <c r="D2124" s="8">
        <v>45388</v>
      </c>
      <c r="E2124" s="9" t="str">
        <f>+HYPERLINK("http://trademark.i-assist.jp/data/china/image_1882th/76306980.pdf","76306980")</f>
        <v>76306980</v>
      </c>
      <c r="F2124" s="6" t="s">
        <v>5853</v>
      </c>
      <c r="G2124" s="6" t="s">
        <v>5854</v>
      </c>
      <c r="H2124" s="8" t="s">
        <v>5855</v>
      </c>
      <c r="I2124" s="14">
        <v>45301</v>
      </c>
    </row>
    <row r="2125" spans="1:9" x14ac:dyDescent="0.15">
      <c r="A2125" s="5">
        <v>2124</v>
      </c>
      <c r="B2125" s="6" t="s">
        <v>9</v>
      </c>
      <c r="C2125" s="7">
        <v>1882</v>
      </c>
      <c r="D2125" s="8">
        <v>45388</v>
      </c>
      <c r="E2125" s="9" t="str">
        <f>+HYPERLINK("http://trademark.i-assist.jp/data/china/image_1882th/76307046.pdf","76307046")</f>
        <v>76307046</v>
      </c>
      <c r="F2125" s="6" t="s">
        <v>5856</v>
      </c>
      <c r="G2125" s="6" t="s">
        <v>5857</v>
      </c>
      <c r="H2125" s="8" t="s">
        <v>5858</v>
      </c>
      <c r="I2125" s="14">
        <v>45301</v>
      </c>
    </row>
    <row r="2126" spans="1:9" x14ac:dyDescent="0.15">
      <c r="A2126" s="5">
        <v>2125</v>
      </c>
      <c r="B2126" s="6" t="s">
        <v>9</v>
      </c>
      <c r="C2126" s="7">
        <v>1882</v>
      </c>
      <c r="D2126" s="8">
        <v>45388</v>
      </c>
      <c r="E2126" s="9" t="str">
        <f>+HYPERLINK("http://trademark.i-assist.jp/data/china/image_1882th/76307106.pdf","76307106")</f>
        <v>76307106</v>
      </c>
      <c r="F2126" s="6" t="s">
        <v>5859</v>
      </c>
      <c r="G2126" s="6" t="s">
        <v>5860</v>
      </c>
      <c r="H2126" s="8" t="s">
        <v>5861</v>
      </c>
      <c r="I2126" s="14">
        <v>45301</v>
      </c>
    </row>
    <row r="2127" spans="1:9" x14ac:dyDescent="0.15">
      <c r="A2127" s="5">
        <v>2126</v>
      </c>
      <c r="B2127" s="6" t="s">
        <v>9</v>
      </c>
      <c r="C2127" s="7">
        <v>1882</v>
      </c>
      <c r="D2127" s="8">
        <v>45388</v>
      </c>
      <c r="E2127" s="9" t="str">
        <f>+HYPERLINK("http://trademark.i-assist.jp/data/china/image_1882th/76307157.pdf","76307157")</f>
        <v>76307157</v>
      </c>
      <c r="F2127" s="6" t="s">
        <v>5862</v>
      </c>
      <c r="G2127" s="6" t="s">
        <v>5863</v>
      </c>
      <c r="H2127" s="8" t="s">
        <v>5864</v>
      </c>
      <c r="I2127" s="14">
        <v>45301</v>
      </c>
    </row>
    <row r="2128" spans="1:9" x14ac:dyDescent="0.15">
      <c r="A2128" s="5">
        <v>2127</v>
      </c>
      <c r="B2128" s="6" t="s">
        <v>9</v>
      </c>
      <c r="C2128" s="7">
        <v>1882</v>
      </c>
      <c r="D2128" s="8">
        <v>45388</v>
      </c>
      <c r="E2128" s="9" t="str">
        <f>+HYPERLINK("http://trademark.i-assist.jp/data/china/image_1882th/76307187.pdf","76307187")</f>
        <v>76307187</v>
      </c>
      <c r="F2128" s="6" t="s">
        <v>5865</v>
      </c>
      <c r="G2128" s="6" t="s">
        <v>5866</v>
      </c>
      <c r="H2128" s="8" t="s">
        <v>5867</v>
      </c>
      <c r="I2128" s="14">
        <v>45301</v>
      </c>
    </row>
    <row r="2129" spans="1:9" x14ac:dyDescent="0.15">
      <c r="A2129" s="5">
        <v>2128</v>
      </c>
      <c r="B2129" s="6" t="s">
        <v>9</v>
      </c>
      <c r="C2129" s="7">
        <v>1882</v>
      </c>
      <c r="D2129" s="8">
        <v>45388</v>
      </c>
      <c r="E2129" s="9" t="str">
        <f>+HYPERLINK("http://trademark.i-assist.jp/data/china/image_1882th/76307379.pdf","76307379")</f>
        <v>76307379</v>
      </c>
      <c r="F2129" s="6" t="s">
        <v>5868</v>
      </c>
      <c r="G2129" s="6" t="s">
        <v>5558</v>
      </c>
      <c r="H2129" s="8" t="s">
        <v>5869</v>
      </c>
      <c r="I2129" s="14">
        <v>45301</v>
      </c>
    </row>
    <row r="2130" spans="1:9" x14ac:dyDescent="0.15">
      <c r="A2130" s="5">
        <v>2129</v>
      </c>
      <c r="B2130" s="6" t="s">
        <v>9</v>
      </c>
      <c r="C2130" s="7">
        <v>1882</v>
      </c>
      <c r="D2130" s="8">
        <v>45388</v>
      </c>
      <c r="E2130" s="9" t="str">
        <f>+HYPERLINK("http://trademark.i-assist.jp/data/china/image_1882th/76307419.pdf","76307419")</f>
        <v>76307419</v>
      </c>
      <c r="F2130" s="6" t="s">
        <v>5870</v>
      </c>
      <c r="G2130" s="6" t="s">
        <v>4961</v>
      </c>
      <c r="H2130" s="8" t="s">
        <v>5871</v>
      </c>
      <c r="I2130" s="14">
        <v>45301</v>
      </c>
    </row>
    <row r="2131" spans="1:9" x14ac:dyDescent="0.15">
      <c r="A2131" s="5">
        <v>2130</v>
      </c>
      <c r="B2131" s="6" t="s">
        <v>9</v>
      </c>
      <c r="C2131" s="7">
        <v>1882</v>
      </c>
      <c r="D2131" s="8">
        <v>45388</v>
      </c>
      <c r="E2131" s="9" t="str">
        <f>+HYPERLINK("http://trademark.i-assist.jp/data/china/image_1882th/76307472.pdf","76307472")</f>
        <v>76307472</v>
      </c>
      <c r="F2131" s="6" t="s">
        <v>5872</v>
      </c>
      <c r="G2131" s="6" t="s">
        <v>5585</v>
      </c>
      <c r="H2131" s="8" t="s">
        <v>5873</v>
      </c>
      <c r="I2131" s="14">
        <v>45301</v>
      </c>
    </row>
    <row r="2132" spans="1:9" x14ac:dyDescent="0.15">
      <c r="A2132" s="5">
        <v>2131</v>
      </c>
      <c r="B2132" s="6" t="s">
        <v>9</v>
      </c>
      <c r="C2132" s="7">
        <v>1882</v>
      </c>
      <c r="D2132" s="8">
        <v>45388</v>
      </c>
      <c r="E2132" s="9" t="str">
        <f>+HYPERLINK("http://trademark.i-assist.jp/data/china/image_1882th/76307553.pdf","76307553")</f>
        <v>76307553</v>
      </c>
      <c r="F2132" s="6" t="s">
        <v>5874</v>
      </c>
      <c r="G2132" s="6" t="s">
        <v>4332</v>
      </c>
      <c r="H2132" s="8" t="s">
        <v>5875</v>
      </c>
      <c r="I2132" s="14">
        <v>45301</v>
      </c>
    </row>
    <row r="2133" spans="1:9" x14ac:dyDescent="0.15">
      <c r="A2133" s="5">
        <v>2132</v>
      </c>
      <c r="B2133" s="6" t="s">
        <v>9</v>
      </c>
      <c r="C2133" s="7">
        <v>1882</v>
      </c>
      <c r="D2133" s="8">
        <v>45388</v>
      </c>
      <c r="E2133" s="9" t="str">
        <f>+HYPERLINK("http://trademark.i-assist.jp/data/china/image_1882th/76307562.pdf","76307562")</f>
        <v>76307562</v>
      </c>
      <c r="F2133" s="6" t="s">
        <v>5876</v>
      </c>
      <c r="G2133" s="6" t="s">
        <v>5877</v>
      </c>
      <c r="H2133" s="8" t="s">
        <v>5878</v>
      </c>
      <c r="I2133" s="14">
        <v>45301</v>
      </c>
    </row>
    <row r="2134" spans="1:9" x14ac:dyDescent="0.15">
      <c r="A2134" s="5">
        <v>2133</v>
      </c>
      <c r="B2134" s="6" t="s">
        <v>9</v>
      </c>
      <c r="C2134" s="7">
        <v>1882</v>
      </c>
      <c r="D2134" s="8">
        <v>45388</v>
      </c>
      <c r="E2134" s="9" t="str">
        <f>+HYPERLINK("http://trademark.i-assist.jp/data/china/image_1882th/76307597.pdf","76307597")</f>
        <v>76307597</v>
      </c>
      <c r="F2134" s="6" t="s">
        <v>5879</v>
      </c>
      <c r="G2134" s="6" t="s">
        <v>4961</v>
      </c>
      <c r="H2134" s="8" t="s">
        <v>5880</v>
      </c>
      <c r="I2134" s="14">
        <v>45301</v>
      </c>
    </row>
    <row r="2135" spans="1:9" x14ac:dyDescent="0.15">
      <c r="A2135" s="5">
        <v>2134</v>
      </c>
      <c r="B2135" s="6" t="s">
        <v>9</v>
      </c>
      <c r="C2135" s="7">
        <v>1882</v>
      </c>
      <c r="D2135" s="8">
        <v>45388</v>
      </c>
      <c r="E2135" s="9" t="str">
        <f>+HYPERLINK("http://trademark.i-assist.jp/data/china/image_1882th/76307638.pdf","76307638")</f>
        <v>76307638</v>
      </c>
      <c r="F2135" s="6" t="s">
        <v>5881</v>
      </c>
      <c r="G2135" s="6" t="s">
        <v>5882</v>
      </c>
      <c r="H2135" s="8" t="s">
        <v>5883</v>
      </c>
      <c r="I2135" s="14">
        <v>45301</v>
      </c>
    </row>
    <row r="2136" spans="1:9" x14ac:dyDescent="0.15">
      <c r="A2136" s="5">
        <v>2135</v>
      </c>
      <c r="B2136" s="6" t="s">
        <v>9</v>
      </c>
      <c r="C2136" s="7">
        <v>1882</v>
      </c>
      <c r="D2136" s="8">
        <v>45388</v>
      </c>
      <c r="E2136" s="9" t="str">
        <f>+HYPERLINK("http://trademark.i-assist.jp/data/china/image_1882th/76307677.pdf","76307677")</f>
        <v>76307677</v>
      </c>
      <c r="F2136" s="6" t="s">
        <v>5884</v>
      </c>
      <c r="G2136" s="6" t="s">
        <v>5012</v>
      </c>
      <c r="H2136" s="8" t="s">
        <v>5885</v>
      </c>
      <c r="I2136" s="14">
        <v>45301</v>
      </c>
    </row>
    <row r="2137" spans="1:9" x14ac:dyDescent="0.15">
      <c r="A2137" s="5">
        <v>2136</v>
      </c>
      <c r="B2137" s="6" t="s">
        <v>9</v>
      </c>
      <c r="C2137" s="7">
        <v>1882</v>
      </c>
      <c r="D2137" s="8">
        <v>45388</v>
      </c>
      <c r="E2137" s="9" t="str">
        <f>+HYPERLINK("http://trademark.i-assist.jp/data/china/image_1882th/76307982.pdf","76307982")</f>
        <v>76307982</v>
      </c>
      <c r="F2137" s="6" t="s">
        <v>5886</v>
      </c>
      <c r="G2137" s="6" t="s">
        <v>5887</v>
      </c>
      <c r="H2137" s="8" t="s">
        <v>5888</v>
      </c>
      <c r="I2137" s="14">
        <v>45301</v>
      </c>
    </row>
    <row r="2138" spans="1:9" x14ac:dyDescent="0.15">
      <c r="A2138" s="5">
        <v>2137</v>
      </c>
      <c r="B2138" s="6" t="s">
        <v>9</v>
      </c>
      <c r="C2138" s="7">
        <v>1882</v>
      </c>
      <c r="D2138" s="8">
        <v>45388</v>
      </c>
      <c r="E2138" s="9" t="str">
        <f>+HYPERLINK("http://trademark.i-assist.jp/data/china/image_1882th/76308118.pdf","76308118")</f>
        <v>76308118</v>
      </c>
      <c r="F2138" s="6" t="s">
        <v>5889</v>
      </c>
      <c r="G2138" s="6" t="s">
        <v>5890</v>
      </c>
      <c r="H2138" s="8" t="s">
        <v>5891</v>
      </c>
      <c r="I2138" s="14">
        <v>45301</v>
      </c>
    </row>
    <row r="2139" spans="1:9" x14ac:dyDescent="0.15">
      <c r="A2139" s="5">
        <v>2138</v>
      </c>
      <c r="B2139" s="6" t="s">
        <v>9</v>
      </c>
      <c r="C2139" s="7">
        <v>1882</v>
      </c>
      <c r="D2139" s="8">
        <v>45388</v>
      </c>
      <c r="E2139" s="9" t="str">
        <f>+HYPERLINK("http://trademark.i-assist.jp/data/china/image_1882th/76308362.pdf","76308362")</f>
        <v>76308362</v>
      </c>
      <c r="F2139" s="6" t="s">
        <v>5892</v>
      </c>
      <c r="G2139" s="6" t="s">
        <v>5893</v>
      </c>
      <c r="H2139" s="8" t="s">
        <v>5894</v>
      </c>
      <c r="I2139" s="14">
        <v>45301</v>
      </c>
    </row>
    <row r="2140" spans="1:9" x14ac:dyDescent="0.15">
      <c r="A2140" s="5">
        <v>2139</v>
      </c>
      <c r="B2140" s="6" t="s">
        <v>9</v>
      </c>
      <c r="C2140" s="7">
        <v>1882</v>
      </c>
      <c r="D2140" s="8">
        <v>45388</v>
      </c>
      <c r="E2140" s="9" t="str">
        <f>+HYPERLINK("http://trademark.i-assist.jp/data/china/image_1882th/76308633.pdf","76308633")</f>
        <v>76308633</v>
      </c>
      <c r="F2140" s="6" t="s">
        <v>5895</v>
      </c>
      <c r="G2140" s="6" t="s">
        <v>5481</v>
      </c>
      <c r="H2140" s="8" t="s">
        <v>5896</v>
      </c>
      <c r="I2140" s="14">
        <v>45301</v>
      </c>
    </row>
    <row r="2141" spans="1:9" x14ac:dyDescent="0.15">
      <c r="A2141" s="5">
        <v>2140</v>
      </c>
      <c r="B2141" s="6" t="s">
        <v>9</v>
      </c>
      <c r="C2141" s="7">
        <v>1882</v>
      </c>
      <c r="D2141" s="8">
        <v>45388</v>
      </c>
      <c r="E2141" s="9" t="str">
        <f>+HYPERLINK("http://trademark.i-assist.jp/data/china/image_1882th/76308954.pdf","76308954")</f>
        <v>76308954</v>
      </c>
      <c r="F2141" s="6" t="s">
        <v>5897</v>
      </c>
      <c r="G2141" s="6" t="s">
        <v>5568</v>
      </c>
      <c r="H2141" s="8" t="s">
        <v>5898</v>
      </c>
      <c r="I2141" s="14">
        <v>45301</v>
      </c>
    </row>
    <row r="2142" spans="1:9" x14ac:dyDescent="0.15">
      <c r="A2142" s="5">
        <v>2141</v>
      </c>
      <c r="B2142" s="6" t="s">
        <v>9</v>
      </c>
      <c r="C2142" s="7">
        <v>1882</v>
      </c>
      <c r="D2142" s="8">
        <v>45388</v>
      </c>
      <c r="E2142" s="9" t="str">
        <f>+HYPERLINK("http://trademark.i-assist.jp/data/china/image_1882th/76308962.pdf","76308962")</f>
        <v>76308962</v>
      </c>
      <c r="F2142" s="6" t="s">
        <v>5899</v>
      </c>
      <c r="G2142" s="6" t="s">
        <v>3560</v>
      </c>
      <c r="H2142" s="8" t="s">
        <v>5900</v>
      </c>
      <c r="I2142" s="14">
        <v>45301</v>
      </c>
    </row>
    <row r="2143" spans="1:9" x14ac:dyDescent="0.15">
      <c r="A2143" s="5">
        <v>2142</v>
      </c>
      <c r="B2143" s="6" t="s">
        <v>9</v>
      </c>
      <c r="C2143" s="7">
        <v>1882</v>
      </c>
      <c r="D2143" s="8">
        <v>45388</v>
      </c>
      <c r="E2143" s="9" t="str">
        <f>+HYPERLINK("http://trademark.i-assist.jp/data/china/image_1882th/76309042.pdf","76309042")</f>
        <v>76309042</v>
      </c>
      <c r="F2143" s="6" t="s">
        <v>5901</v>
      </c>
      <c r="G2143" s="6" t="s">
        <v>5902</v>
      </c>
      <c r="H2143" s="8" t="s">
        <v>5903</v>
      </c>
      <c r="I2143" s="14">
        <v>45301</v>
      </c>
    </row>
    <row r="2144" spans="1:9" x14ac:dyDescent="0.15">
      <c r="A2144" s="5">
        <v>2143</v>
      </c>
      <c r="B2144" s="6" t="s">
        <v>9</v>
      </c>
      <c r="C2144" s="7">
        <v>1882</v>
      </c>
      <c r="D2144" s="8">
        <v>45388</v>
      </c>
      <c r="E2144" s="9" t="str">
        <f>+HYPERLINK("http://trademark.i-assist.jp/data/china/image_1882th/76309061.pdf","76309061")</f>
        <v>76309061</v>
      </c>
      <c r="F2144" s="6" t="s">
        <v>5904</v>
      </c>
      <c r="G2144" s="6" t="s">
        <v>5905</v>
      </c>
      <c r="H2144" s="8" t="s">
        <v>5906</v>
      </c>
      <c r="I2144" s="14">
        <v>45301</v>
      </c>
    </row>
    <row r="2145" spans="1:9" x14ac:dyDescent="0.15">
      <c r="A2145" s="5">
        <v>2144</v>
      </c>
      <c r="B2145" s="6" t="s">
        <v>9</v>
      </c>
      <c r="C2145" s="7">
        <v>1882</v>
      </c>
      <c r="D2145" s="8">
        <v>45388</v>
      </c>
      <c r="E2145" s="9" t="str">
        <f>+HYPERLINK("http://trademark.i-assist.jp/data/china/image_1882th/76309078.pdf","76309078")</f>
        <v>76309078</v>
      </c>
      <c r="F2145" s="6" t="s">
        <v>5907</v>
      </c>
      <c r="G2145" s="6" t="s">
        <v>5908</v>
      </c>
      <c r="H2145" s="8" t="s">
        <v>5909</v>
      </c>
      <c r="I2145" s="14">
        <v>45301</v>
      </c>
    </row>
    <row r="2146" spans="1:9" x14ac:dyDescent="0.15">
      <c r="A2146" s="5">
        <v>2145</v>
      </c>
      <c r="B2146" s="6" t="s">
        <v>9</v>
      </c>
      <c r="C2146" s="7">
        <v>1882</v>
      </c>
      <c r="D2146" s="8">
        <v>45388</v>
      </c>
      <c r="E2146" s="9" t="str">
        <f>+HYPERLINK("http://trademark.i-assist.jp/data/china/image_1882th/76309080.pdf","76309080")</f>
        <v>76309080</v>
      </c>
      <c r="F2146" s="6" t="s">
        <v>5910</v>
      </c>
      <c r="G2146" s="6" t="s">
        <v>5911</v>
      </c>
      <c r="H2146" s="8" t="s">
        <v>5912</v>
      </c>
      <c r="I2146" s="14">
        <v>45301</v>
      </c>
    </row>
    <row r="2147" spans="1:9" x14ac:dyDescent="0.15">
      <c r="A2147" s="5">
        <v>2146</v>
      </c>
      <c r="B2147" s="6" t="s">
        <v>9</v>
      </c>
      <c r="C2147" s="7">
        <v>1882</v>
      </c>
      <c r="D2147" s="8">
        <v>45388</v>
      </c>
      <c r="E2147" s="9" t="str">
        <f>+HYPERLINK("http://trademark.i-assist.jp/data/china/image_1882th/76309109.pdf","76309109")</f>
        <v>76309109</v>
      </c>
      <c r="F2147" s="6" t="s">
        <v>5913</v>
      </c>
      <c r="G2147" s="6" t="s">
        <v>5914</v>
      </c>
      <c r="H2147" s="8" t="s">
        <v>5915</v>
      </c>
      <c r="I2147" s="14">
        <v>45301</v>
      </c>
    </row>
    <row r="2148" spans="1:9" x14ac:dyDescent="0.15">
      <c r="A2148" s="5">
        <v>2147</v>
      </c>
      <c r="B2148" s="6" t="s">
        <v>9</v>
      </c>
      <c r="C2148" s="7">
        <v>1882</v>
      </c>
      <c r="D2148" s="8">
        <v>45388</v>
      </c>
      <c r="E2148" s="9" t="str">
        <f>+HYPERLINK("http://trademark.i-assist.jp/data/china/image_1882th/76309311.pdf","76309311")</f>
        <v>76309311</v>
      </c>
      <c r="F2148" s="6" t="s">
        <v>5916</v>
      </c>
      <c r="G2148" s="6" t="s">
        <v>5558</v>
      </c>
      <c r="H2148" s="8" t="s">
        <v>5917</v>
      </c>
      <c r="I2148" s="14">
        <v>45301</v>
      </c>
    </row>
    <row r="2149" spans="1:9" x14ac:dyDescent="0.15">
      <c r="A2149" s="5">
        <v>2148</v>
      </c>
      <c r="B2149" s="6" t="s">
        <v>9</v>
      </c>
      <c r="C2149" s="7">
        <v>1882</v>
      </c>
      <c r="D2149" s="8">
        <v>45388</v>
      </c>
      <c r="E2149" s="9" t="str">
        <f>+HYPERLINK("http://trademark.i-assist.jp/data/china/image_1882th/76309331.pdf","76309331")</f>
        <v>76309331</v>
      </c>
      <c r="F2149" s="6" t="s">
        <v>5918</v>
      </c>
      <c r="G2149" s="6" t="s">
        <v>5919</v>
      </c>
      <c r="H2149" s="8" t="s">
        <v>5920</v>
      </c>
      <c r="I2149" s="14">
        <v>45301</v>
      </c>
    </row>
    <row r="2150" spans="1:9" x14ac:dyDescent="0.15">
      <c r="A2150" s="5">
        <v>2149</v>
      </c>
      <c r="B2150" s="6" t="s">
        <v>9</v>
      </c>
      <c r="C2150" s="7">
        <v>1882</v>
      </c>
      <c r="D2150" s="8">
        <v>45388</v>
      </c>
      <c r="E2150" s="9" t="str">
        <f>+HYPERLINK("http://trademark.i-assist.jp/data/china/image_1882th/76309804.pdf","76309804")</f>
        <v>76309804</v>
      </c>
      <c r="F2150" s="6" t="s">
        <v>5921</v>
      </c>
      <c r="G2150" s="6" t="s">
        <v>491</v>
      </c>
      <c r="H2150" s="8" t="s">
        <v>5922</v>
      </c>
      <c r="I2150" s="14">
        <v>45301</v>
      </c>
    </row>
    <row r="2151" spans="1:9" x14ac:dyDescent="0.15">
      <c r="A2151" s="5">
        <v>2150</v>
      </c>
      <c r="B2151" s="6" t="s">
        <v>9</v>
      </c>
      <c r="C2151" s="7">
        <v>1882</v>
      </c>
      <c r="D2151" s="8">
        <v>45388</v>
      </c>
      <c r="E2151" s="9" t="str">
        <f>+HYPERLINK("http://trademark.i-assist.jp/data/china/image_1882th/76309808.pdf","76309808")</f>
        <v>76309808</v>
      </c>
      <c r="F2151" s="6" t="s">
        <v>5923</v>
      </c>
      <c r="G2151" s="6" t="s">
        <v>5165</v>
      </c>
      <c r="H2151" s="8" t="s">
        <v>5924</v>
      </c>
      <c r="I2151" s="14">
        <v>45301</v>
      </c>
    </row>
    <row r="2152" spans="1:9" x14ac:dyDescent="0.15">
      <c r="A2152" s="5">
        <v>2151</v>
      </c>
      <c r="B2152" s="6" t="s">
        <v>9</v>
      </c>
      <c r="C2152" s="7">
        <v>1882</v>
      </c>
      <c r="D2152" s="8">
        <v>45388</v>
      </c>
      <c r="E2152" s="9" t="str">
        <f>+HYPERLINK("http://trademark.i-assist.jp/data/china/image_1882th/76310042.pdf","76310042")</f>
        <v>76310042</v>
      </c>
      <c r="F2152" s="6" t="s">
        <v>5925</v>
      </c>
      <c r="G2152" s="6" t="s">
        <v>5481</v>
      </c>
      <c r="H2152" s="8" t="s">
        <v>5926</v>
      </c>
      <c r="I2152" s="14">
        <v>45301</v>
      </c>
    </row>
    <row r="2153" spans="1:9" x14ac:dyDescent="0.15">
      <c r="A2153" s="5">
        <v>2152</v>
      </c>
      <c r="B2153" s="6" t="s">
        <v>9</v>
      </c>
      <c r="C2153" s="7">
        <v>1882</v>
      </c>
      <c r="D2153" s="8">
        <v>45388</v>
      </c>
      <c r="E2153" s="9" t="str">
        <f>+HYPERLINK("http://trademark.i-assist.jp/data/china/image_1882th/76310203.pdf","76310203")</f>
        <v>76310203</v>
      </c>
      <c r="F2153" s="6" t="s">
        <v>5927</v>
      </c>
      <c r="G2153" s="6" t="s">
        <v>5928</v>
      </c>
      <c r="H2153" s="8" t="s">
        <v>5929</v>
      </c>
      <c r="I2153" s="14">
        <v>45301</v>
      </c>
    </row>
    <row r="2154" spans="1:9" x14ac:dyDescent="0.15">
      <c r="A2154" s="5">
        <v>2153</v>
      </c>
      <c r="B2154" s="6" t="s">
        <v>9</v>
      </c>
      <c r="C2154" s="7">
        <v>1882</v>
      </c>
      <c r="D2154" s="8">
        <v>45388</v>
      </c>
      <c r="E2154" s="9" t="str">
        <f>+HYPERLINK("http://trademark.i-assist.jp/data/china/image_1882th/76310238.pdf","76310238")</f>
        <v>76310238</v>
      </c>
      <c r="F2154" s="6" t="s">
        <v>5930</v>
      </c>
      <c r="G2154" s="6" t="s">
        <v>5087</v>
      </c>
      <c r="H2154" s="8" t="s">
        <v>5931</v>
      </c>
      <c r="I2154" s="14">
        <v>45301</v>
      </c>
    </row>
    <row r="2155" spans="1:9" x14ac:dyDescent="0.15">
      <c r="A2155" s="5">
        <v>2154</v>
      </c>
      <c r="B2155" s="6" t="s">
        <v>9</v>
      </c>
      <c r="C2155" s="7">
        <v>1882</v>
      </c>
      <c r="D2155" s="8">
        <v>45388</v>
      </c>
      <c r="E2155" s="9" t="str">
        <f>+HYPERLINK("http://trademark.i-assist.jp/data/china/image_1882th/76310303.pdf","76310303")</f>
        <v>76310303</v>
      </c>
      <c r="F2155" s="6" t="s">
        <v>5932</v>
      </c>
      <c r="G2155" s="6" t="s">
        <v>5933</v>
      </c>
      <c r="H2155" s="8" t="s">
        <v>5934</v>
      </c>
      <c r="I2155" s="14">
        <v>45301</v>
      </c>
    </row>
    <row r="2156" spans="1:9" x14ac:dyDescent="0.15">
      <c r="A2156" s="5">
        <v>2155</v>
      </c>
      <c r="B2156" s="6" t="s">
        <v>9</v>
      </c>
      <c r="C2156" s="7">
        <v>1882</v>
      </c>
      <c r="D2156" s="8">
        <v>45388</v>
      </c>
      <c r="E2156" s="9" t="str">
        <f>+HYPERLINK("http://trademark.i-assist.jp/data/china/image_1882th/76310379.pdf","76310379")</f>
        <v>76310379</v>
      </c>
      <c r="F2156" s="6" t="s">
        <v>5935</v>
      </c>
      <c r="G2156" s="6" t="s">
        <v>5785</v>
      </c>
      <c r="H2156" s="8" t="s">
        <v>5936</v>
      </c>
      <c r="I2156" s="14">
        <v>45301</v>
      </c>
    </row>
    <row r="2157" spans="1:9" x14ac:dyDescent="0.15">
      <c r="A2157" s="5">
        <v>2156</v>
      </c>
      <c r="B2157" s="6" t="s">
        <v>9</v>
      </c>
      <c r="C2157" s="7">
        <v>1882</v>
      </c>
      <c r="D2157" s="8">
        <v>45388</v>
      </c>
      <c r="E2157" s="9" t="str">
        <f>+HYPERLINK("http://trademark.i-assist.jp/data/china/image_1882th/76310608.pdf","76310608")</f>
        <v>76310608</v>
      </c>
      <c r="F2157" s="6" t="s">
        <v>5937</v>
      </c>
      <c r="G2157" s="6" t="s">
        <v>5087</v>
      </c>
      <c r="H2157" s="8" t="s">
        <v>5938</v>
      </c>
      <c r="I2157" s="14">
        <v>45301</v>
      </c>
    </row>
    <row r="2158" spans="1:9" x14ac:dyDescent="0.15">
      <c r="A2158" s="5">
        <v>2157</v>
      </c>
      <c r="B2158" s="6" t="s">
        <v>9</v>
      </c>
      <c r="C2158" s="7">
        <v>1882</v>
      </c>
      <c r="D2158" s="8">
        <v>45388</v>
      </c>
      <c r="E2158" s="9" t="str">
        <f>+HYPERLINK("http://trademark.i-assist.jp/data/china/image_1882th/76310750.pdf","76310750")</f>
        <v>76310750</v>
      </c>
      <c r="F2158" s="6" t="s">
        <v>5939</v>
      </c>
      <c r="G2158" s="6" t="s">
        <v>5940</v>
      </c>
      <c r="H2158" s="8" t="s">
        <v>5941</v>
      </c>
      <c r="I2158" s="14">
        <v>45301</v>
      </c>
    </row>
    <row r="2159" spans="1:9" x14ac:dyDescent="0.15">
      <c r="A2159" s="5">
        <v>2158</v>
      </c>
      <c r="B2159" s="6" t="s">
        <v>9</v>
      </c>
      <c r="C2159" s="7">
        <v>1882</v>
      </c>
      <c r="D2159" s="8">
        <v>45388</v>
      </c>
      <c r="E2159" s="9" t="str">
        <f>+HYPERLINK("http://trademark.i-assist.jp/data/china/image_1882th/76310802.pdf","76310802")</f>
        <v>76310802</v>
      </c>
      <c r="F2159" s="6" t="s">
        <v>5942</v>
      </c>
      <c r="G2159" s="6" t="s">
        <v>5943</v>
      </c>
      <c r="H2159" s="8" t="s">
        <v>5944</v>
      </c>
      <c r="I2159" s="14">
        <v>45301</v>
      </c>
    </row>
    <row r="2160" spans="1:9" x14ac:dyDescent="0.15">
      <c r="A2160" s="5">
        <v>2159</v>
      </c>
      <c r="B2160" s="6" t="s">
        <v>9</v>
      </c>
      <c r="C2160" s="7">
        <v>1882</v>
      </c>
      <c r="D2160" s="8">
        <v>45388</v>
      </c>
      <c r="E2160" s="9" t="str">
        <f>+HYPERLINK("http://trademark.i-assist.jp/data/china/image_1882th/76310994.pdf","76310994")</f>
        <v>76310994</v>
      </c>
      <c r="F2160" s="6" t="s">
        <v>5945</v>
      </c>
      <c r="G2160" s="6" t="s">
        <v>5515</v>
      </c>
      <c r="H2160" s="8" t="s">
        <v>5946</v>
      </c>
      <c r="I2160" s="14">
        <v>45301</v>
      </c>
    </row>
    <row r="2161" spans="1:9" x14ac:dyDescent="0.15">
      <c r="A2161" s="5">
        <v>2160</v>
      </c>
      <c r="B2161" s="6" t="s">
        <v>9</v>
      </c>
      <c r="C2161" s="7">
        <v>1882</v>
      </c>
      <c r="D2161" s="8">
        <v>45388</v>
      </c>
      <c r="E2161" s="9" t="str">
        <f>+HYPERLINK("http://trademark.i-assist.jp/data/china/image_1882th/76311216.pdf","76311216")</f>
        <v>76311216</v>
      </c>
      <c r="F2161" s="6" t="s">
        <v>5947</v>
      </c>
      <c r="G2161" s="6" t="s">
        <v>1812</v>
      </c>
      <c r="H2161" s="8" t="s">
        <v>5948</v>
      </c>
      <c r="I2161" s="14">
        <v>45301</v>
      </c>
    </row>
    <row r="2162" spans="1:9" x14ac:dyDescent="0.15">
      <c r="A2162" s="5">
        <v>2161</v>
      </c>
      <c r="B2162" s="6" t="s">
        <v>9</v>
      </c>
      <c r="C2162" s="7">
        <v>1882</v>
      </c>
      <c r="D2162" s="8">
        <v>45388</v>
      </c>
      <c r="E2162" s="9" t="str">
        <f>+HYPERLINK("http://trademark.i-assist.jp/data/china/image_1882th/76311304.pdf","76311304")</f>
        <v>76311304</v>
      </c>
      <c r="F2162" s="6" t="s">
        <v>5949</v>
      </c>
      <c r="G2162" s="6" t="s">
        <v>5481</v>
      </c>
      <c r="H2162" s="8" t="s">
        <v>5950</v>
      </c>
      <c r="I2162" s="14">
        <v>45301</v>
      </c>
    </row>
    <row r="2163" spans="1:9" x14ac:dyDescent="0.15">
      <c r="A2163" s="5">
        <v>2162</v>
      </c>
      <c r="B2163" s="6" t="s">
        <v>9</v>
      </c>
      <c r="C2163" s="7">
        <v>1882</v>
      </c>
      <c r="D2163" s="8">
        <v>45388</v>
      </c>
      <c r="E2163" s="9" t="str">
        <f>+HYPERLINK("http://trademark.i-assist.jp/data/china/image_1882th/76311545.pdf","76311545")</f>
        <v>76311545</v>
      </c>
      <c r="F2163" s="6" t="s">
        <v>5951</v>
      </c>
      <c r="G2163" s="6" t="s">
        <v>5952</v>
      </c>
      <c r="H2163" s="8" t="s">
        <v>5953</v>
      </c>
      <c r="I2163" s="14">
        <v>45301</v>
      </c>
    </row>
    <row r="2164" spans="1:9" x14ac:dyDescent="0.15">
      <c r="A2164" s="5">
        <v>2163</v>
      </c>
      <c r="B2164" s="6" t="s">
        <v>9</v>
      </c>
      <c r="C2164" s="7">
        <v>1882</v>
      </c>
      <c r="D2164" s="8">
        <v>45388</v>
      </c>
      <c r="E2164" s="9" t="str">
        <f>+HYPERLINK("http://trademark.i-assist.jp/data/china/image_1882th/76311587.pdf","76311587")</f>
        <v>76311587</v>
      </c>
      <c r="F2164" s="6" t="s">
        <v>5954</v>
      </c>
      <c r="G2164" s="6" t="s">
        <v>5955</v>
      </c>
      <c r="H2164" s="8" t="s">
        <v>5956</v>
      </c>
      <c r="I2164" s="14">
        <v>45301</v>
      </c>
    </row>
    <row r="2165" spans="1:9" x14ac:dyDescent="0.15">
      <c r="A2165" s="5">
        <v>2164</v>
      </c>
      <c r="B2165" s="6" t="s">
        <v>9</v>
      </c>
      <c r="C2165" s="7">
        <v>1882</v>
      </c>
      <c r="D2165" s="8">
        <v>45388</v>
      </c>
      <c r="E2165" s="9" t="str">
        <f>+HYPERLINK("http://trademark.i-assist.jp/data/china/image_1882th/76311749.pdf","76311749")</f>
        <v>76311749</v>
      </c>
      <c r="F2165" s="6" t="s">
        <v>5957</v>
      </c>
      <c r="G2165" s="6" t="s">
        <v>5749</v>
      </c>
      <c r="H2165" s="8" t="s">
        <v>5958</v>
      </c>
      <c r="I2165" s="14">
        <v>45301</v>
      </c>
    </row>
    <row r="2166" spans="1:9" x14ac:dyDescent="0.15">
      <c r="A2166" s="5">
        <v>2165</v>
      </c>
      <c r="B2166" s="6" t="s">
        <v>9</v>
      </c>
      <c r="C2166" s="7">
        <v>1882</v>
      </c>
      <c r="D2166" s="8">
        <v>45388</v>
      </c>
      <c r="E2166" s="9" t="str">
        <f>+HYPERLINK("http://trademark.i-assist.jp/data/china/image_1882th/76311857.pdf","76311857")</f>
        <v>76311857</v>
      </c>
      <c r="F2166" s="6" t="s">
        <v>5959</v>
      </c>
      <c r="G2166" s="6" t="s">
        <v>5960</v>
      </c>
      <c r="H2166" s="8" t="s">
        <v>5961</v>
      </c>
      <c r="I2166" s="14">
        <v>45301</v>
      </c>
    </row>
    <row r="2167" spans="1:9" x14ac:dyDescent="0.15">
      <c r="A2167" s="5">
        <v>2166</v>
      </c>
      <c r="B2167" s="6" t="s">
        <v>9</v>
      </c>
      <c r="C2167" s="7">
        <v>1882</v>
      </c>
      <c r="D2167" s="8">
        <v>45388</v>
      </c>
      <c r="E2167" s="9" t="str">
        <f>+HYPERLINK("http://trademark.i-assist.jp/data/china/image_1882th/76312092.pdf","76312092")</f>
        <v>76312092</v>
      </c>
      <c r="F2167" s="6" t="s">
        <v>5962</v>
      </c>
      <c r="G2167" s="6" t="s">
        <v>5963</v>
      </c>
      <c r="H2167" s="8" t="s">
        <v>5964</v>
      </c>
      <c r="I2167" s="14">
        <v>45301</v>
      </c>
    </row>
    <row r="2168" spans="1:9" x14ac:dyDescent="0.15">
      <c r="A2168" s="5">
        <v>2167</v>
      </c>
      <c r="B2168" s="6" t="s">
        <v>9</v>
      </c>
      <c r="C2168" s="7">
        <v>1882</v>
      </c>
      <c r="D2168" s="8">
        <v>45388</v>
      </c>
      <c r="E2168" s="9" t="str">
        <f>+HYPERLINK("http://trademark.i-assist.jp/data/china/image_1882th/76312109.pdf","76312109")</f>
        <v>76312109</v>
      </c>
      <c r="F2168" s="6" t="s">
        <v>5965</v>
      </c>
      <c r="G2168" s="6" t="s">
        <v>5966</v>
      </c>
      <c r="H2168" s="8" t="s">
        <v>5967</v>
      </c>
      <c r="I2168" s="14">
        <v>45301</v>
      </c>
    </row>
    <row r="2169" spans="1:9" x14ac:dyDescent="0.15">
      <c r="A2169" s="5">
        <v>2168</v>
      </c>
      <c r="B2169" s="6" t="s">
        <v>9</v>
      </c>
      <c r="C2169" s="7">
        <v>1882</v>
      </c>
      <c r="D2169" s="8">
        <v>45388</v>
      </c>
      <c r="E2169" s="9" t="str">
        <f>+HYPERLINK("http://trademark.i-assist.jp/data/china/image_1882th/76312182.pdf","76312182")</f>
        <v>76312182</v>
      </c>
      <c r="F2169" s="6" t="s">
        <v>5968</v>
      </c>
      <c r="G2169" s="6" t="s">
        <v>5969</v>
      </c>
      <c r="H2169" s="8" t="s">
        <v>5970</v>
      </c>
      <c r="I2169" s="14">
        <v>45301</v>
      </c>
    </row>
    <row r="2170" spans="1:9" x14ac:dyDescent="0.15">
      <c r="A2170" s="5">
        <v>2169</v>
      </c>
      <c r="B2170" s="6" t="s">
        <v>9</v>
      </c>
      <c r="C2170" s="7">
        <v>1882</v>
      </c>
      <c r="D2170" s="8">
        <v>45388</v>
      </c>
      <c r="E2170" s="9" t="str">
        <f>+HYPERLINK("http://trademark.i-assist.jp/data/china/image_1882th/76312270.pdf","76312270")</f>
        <v>76312270</v>
      </c>
      <c r="F2170" s="6" t="s">
        <v>5971</v>
      </c>
      <c r="G2170" s="6" t="s">
        <v>5972</v>
      </c>
      <c r="H2170" s="8" t="s">
        <v>5973</v>
      </c>
      <c r="I2170" s="14">
        <v>45301</v>
      </c>
    </row>
    <row r="2171" spans="1:9" x14ac:dyDescent="0.15">
      <c r="A2171" s="5">
        <v>2170</v>
      </c>
      <c r="B2171" s="6" t="s">
        <v>9</v>
      </c>
      <c r="C2171" s="7">
        <v>1882</v>
      </c>
      <c r="D2171" s="8">
        <v>45388</v>
      </c>
      <c r="E2171" s="9" t="str">
        <f>+HYPERLINK("http://trademark.i-assist.jp/data/china/image_1882th/76312363.pdf","76312363")</f>
        <v>76312363</v>
      </c>
      <c r="F2171" s="6" t="s">
        <v>5974</v>
      </c>
      <c r="G2171" s="6" t="s">
        <v>5975</v>
      </c>
      <c r="H2171" s="8" t="s">
        <v>5976</v>
      </c>
      <c r="I2171" s="14">
        <v>45301</v>
      </c>
    </row>
    <row r="2172" spans="1:9" x14ac:dyDescent="0.15">
      <c r="A2172" s="5">
        <v>2171</v>
      </c>
      <c r="B2172" s="6" t="s">
        <v>9</v>
      </c>
      <c r="C2172" s="7">
        <v>1882</v>
      </c>
      <c r="D2172" s="8">
        <v>45388</v>
      </c>
      <c r="E2172" s="9" t="str">
        <f>+HYPERLINK("http://trademark.i-assist.jp/data/china/image_1882th/76312380.pdf","76312380")</f>
        <v>76312380</v>
      </c>
      <c r="F2172" s="6" t="s">
        <v>5977</v>
      </c>
      <c r="G2172" s="6" t="s">
        <v>5978</v>
      </c>
      <c r="H2172" s="8" t="s">
        <v>5979</v>
      </c>
      <c r="I2172" s="14">
        <v>45301</v>
      </c>
    </row>
    <row r="2173" spans="1:9" x14ac:dyDescent="0.15">
      <c r="A2173" s="5">
        <v>2172</v>
      </c>
      <c r="B2173" s="6" t="s">
        <v>9</v>
      </c>
      <c r="C2173" s="7">
        <v>1882</v>
      </c>
      <c r="D2173" s="8">
        <v>45388</v>
      </c>
      <c r="E2173" s="9" t="str">
        <f>+HYPERLINK("http://trademark.i-assist.jp/data/china/image_1882th/76312573.pdf","76312573")</f>
        <v>76312573</v>
      </c>
      <c r="F2173" s="6" t="s">
        <v>5980</v>
      </c>
      <c r="G2173" s="6" t="s">
        <v>5602</v>
      </c>
      <c r="H2173" s="8" t="s">
        <v>5981</v>
      </c>
      <c r="I2173" s="14">
        <v>45301</v>
      </c>
    </row>
    <row r="2174" spans="1:9" x14ac:dyDescent="0.15">
      <c r="A2174" s="5">
        <v>2173</v>
      </c>
      <c r="B2174" s="6" t="s">
        <v>9</v>
      </c>
      <c r="C2174" s="7">
        <v>1882</v>
      </c>
      <c r="D2174" s="8">
        <v>45388</v>
      </c>
      <c r="E2174" s="9" t="str">
        <f>+HYPERLINK("http://trademark.i-assist.jp/data/china/image_1882th/76312687.pdf","76312687")</f>
        <v>76312687</v>
      </c>
      <c r="F2174" s="6" t="s">
        <v>5982</v>
      </c>
      <c r="G2174" s="6" t="s">
        <v>5983</v>
      </c>
      <c r="H2174" s="8" t="s">
        <v>5984</v>
      </c>
      <c r="I2174" s="14">
        <v>45301</v>
      </c>
    </row>
    <row r="2175" spans="1:9" x14ac:dyDescent="0.15">
      <c r="A2175" s="5">
        <v>2174</v>
      </c>
      <c r="B2175" s="6" t="s">
        <v>9</v>
      </c>
      <c r="C2175" s="7">
        <v>1882</v>
      </c>
      <c r="D2175" s="8">
        <v>45388</v>
      </c>
      <c r="E2175" s="9" t="str">
        <f>+HYPERLINK("http://trademark.i-assist.jp/data/china/image_1882th/76312780.pdf","76312780")</f>
        <v>76312780</v>
      </c>
      <c r="F2175" s="6" t="s">
        <v>5985</v>
      </c>
      <c r="G2175" s="6" t="s">
        <v>5496</v>
      </c>
      <c r="H2175" s="8" t="s">
        <v>5986</v>
      </c>
      <c r="I2175" s="14">
        <v>45301</v>
      </c>
    </row>
    <row r="2176" spans="1:9" x14ac:dyDescent="0.15">
      <c r="A2176" s="5">
        <v>2175</v>
      </c>
      <c r="B2176" s="6" t="s">
        <v>9</v>
      </c>
      <c r="C2176" s="7">
        <v>1882</v>
      </c>
      <c r="D2176" s="8">
        <v>45388</v>
      </c>
      <c r="E2176" s="9" t="str">
        <f>+HYPERLINK("http://trademark.i-assist.jp/data/china/image_1882th/76312928.pdf","76312928")</f>
        <v>76312928</v>
      </c>
      <c r="F2176" s="6" t="s">
        <v>5987</v>
      </c>
      <c r="G2176" s="6" t="s">
        <v>5988</v>
      </c>
      <c r="H2176" s="8" t="s">
        <v>5989</v>
      </c>
      <c r="I2176" s="14">
        <v>45301</v>
      </c>
    </row>
    <row r="2177" spans="1:9" x14ac:dyDescent="0.15">
      <c r="A2177" s="5">
        <v>2176</v>
      </c>
      <c r="B2177" s="6" t="s">
        <v>9</v>
      </c>
      <c r="C2177" s="7">
        <v>1882</v>
      </c>
      <c r="D2177" s="8">
        <v>45388</v>
      </c>
      <c r="E2177" s="9" t="str">
        <f>+HYPERLINK("http://trademark.i-assist.jp/data/china/image_1882th/76313010.pdf","76313010")</f>
        <v>76313010</v>
      </c>
      <c r="F2177" s="6" t="s">
        <v>5990</v>
      </c>
      <c r="G2177" s="6" t="s">
        <v>5758</v>
      </c>
      <c r="H2177" s="8" t="s">
        <v>5991</v>
      </c>
      <c r="I2177" s="14">
        <v>45301</v>
      </c>
    </row>
    <row r="2178" spans="1:9" x14ac:dyDescent="0.15">
      <c r="A2178" s="5">
        <v>2177</v>
      </c>
      <c r="B2178" s="6" t="s">
        <v>9</v>
      </c>
      <c r="C2178" s="7">
        <v>1882</v>
      </c>
      <c r="D2178" s="8">
        <v>45388</v>
      </c>
      <c r="E2178" s="9" t="str">
        <f>+HYPERLINK("http://trademark.i-assist.jp/data/china/image_1882th/76313058.pdf","76313058")</f>
        <v>76313058</v>
      </c>
      <c r="F2178" s="6" t="s">
        <v>5992</v>
      </c>
      <c r="G2178" s="6" t="s">
        <v>5993</v>
      </c>
      <c r="H2178" s="8" t="s">
        <v>5994</v>
      </c>
      <c r="I2178" s="14">
        <v>45301</v>
      </c>
    </row>
    <row r="2179" spans="1:9" x14ac:dyDescent="0.15">
      <c r="A2179" s="5">
        <v>2178</v>
      </c>
      <c r="B2179" s="6" t="s">
        <v>9</v>
      </c>
      <c r="C2179" s="7">
        <v>1882</v>
      </c>
      <c r="D2179" s="8">
        <v>45388</v>
      </c>
      <c r="E2179" s="9" t="str">
        <f>+HYPERLINK("http://trademark.i-assist.jp/data/china/image_1882th/76313221.pdf","76313221")</f>
        <v>76313221</v>
      </c>
      <c r="F2179" s="6" t="s">
        <v>5995</v>
      </c>
      <c r="G2179" s="6" t="s">
        <v>5866</v>
      </c>
      <c r="H2179" s="8" t="s">
        <v>5996</v>
      </c>
      <c r="I2179" s="14">
        <v>45301</v>
      </c>
    </row>
    <row r="2180" spans="1:9" x14ac:dyDescent="0.15">
      <c r="A2180" s="5">
        <v>2179</v>
      </c>
      <c r="B2180" s="6" t="s">
        <v>9</v>
      </c>
      <c r="C2180" s="7">
        <v>1882</v>
      </c>
      <c r="D2180" s="8">
        <v>45388</v>
      </c>
      <c r="E2180" s="9" t="str">
        <f>+HYPERLINK("http://trademark.i-assist.jp/data/china/image_1882th/76313376.pdf","76313376")</f>
        <v>76313376</v>
      </c>
      <c r="F2180" s="6" t="s">
        <v>26</v>
      </c>
      <c r="G2180" s="6" t="s">
        <v>5997</v>
      </c>
      <c r="H2180" s="8" t="s">
        <v>5998</v>
      </c>
      <c r="I2180" s="14">
        <v>45301</v>
      </c>
    </row>
    <row r="2181" spans="1:9" x14ac:dyDescent="0.15">
      <c r="A2181" s="5">
        <v>2180</v>
      </c>
      <c r="B2181" s="6" t="s">
        <v>9</v>
      </c>
      <c r="C2181" s="7">
        <v>1882</v>
      </c>
      <c r="D2181" s="8">
        <v>45388</v>
      </c>
      <c r="E2181" s="9" t="str">
        <f>+HYPERLINK("http://trademark.i-assist.jp/data/china/image_1882th/76313529.pdf","76313529")</f>
        <v>76313529</v>
      </c>
      <c r="F2181" s="6" t="s">
        <v>5999</v>
      </c>
      <c r="G2181" s="6" t="s">
        <v>5515</v>
      </c>
      <c r="H2181" s="8" t="s">
        <v>6000</v>
      </c>
      <c r="I2181" s="14">
        <v>45301</v>
      </c>
    </row>
    <row r="2182" spans="1:9" x14ac:dyDescent="0.15">
      <c r="A2182" s="5">
        <v>2181</v>
      </c>
      <c r="B2182" s="6" t="s">
        <v>9</v>
      </c>
      <c r="C2182" s="7">
        <v>1882</v>
      </c>
      <c r="D2182" s="8">
        <v>45388</v>
      </c>
      <c r="E2182" s="9" t="str">
        <f>+HYPERLINK("http://trademark.i-assist.jp/data/china/image_1882th/76313713.pdf","76313713")</f>
        <v>76313713</v>
      </c>
      <c r="F2182" s="6" t="s">
        <v>6001</v>
      </c>
      <c r="G2182" s="6" t="s">
        <v>5558</v>
      </c>
      <c r="H2182" s="8" t="s">
        <v>6002</v>
      </c>
      <c r="I2182" s="14">
        <v>45301</v>
      </c>
    </row>
    <row r="2183" spans="1:9" x14ac:dyDescent="0.15">
      <c r="A2183" s="5">
        <v>2182</v>
      </c>
      <c r="B2183" s="6" t="s">
        <v>9</v>
      </c>
      <c r="C2183" s="7">
        <v>1882</v>
      </c>
      <c r="D2183" s="8">
        <v>45388</v>
      </c>
      <c r="E2183" s="9" t="str">
        <f>+HYPERLINK("http://trademark.i-assist.jp/data/china/image_1882th/76313805.pdf","76313805")</f>
        <v>76313805</v>
      </c>
      <c r="F2183" s="6" t="s">
        <v>6003</v>
      </c>
      <c r="G2183" s="6" t="s">
        <v>5460</v>
      </c>
      <c r="H2183" s="8" t="s">
        <v>6004</v>
      </c>
      <c r="I2183" s="14">
        <v>45301</v>
      </c>
    </row>
    <row r="2184" spans="1:9" x14ac:dyDescent="0.15">
      <c r="A2184" s="5">
        <v>2183</v>
      </c>
      <c r="B2184" s="6" t="s">
        <v>9</v>
      </c>
      <c r="C2184" s="7">
        <v>1882</v>
      </c>
      <c r="D2184" s="8">
        <v>45388</v>
      </c>
      <c r="E2184" s="9" t="str">
        <f>+HYPERLINK("http://trademark.i-assist.jp/data/china/image_1882th/76313858.pdf","76313858")</f>
        <v>76313858</v>
      </c>
      <c r="F2184" s="6" t="s">
        <v>6005</v>
      </c>
      <c r="G2184" s="6" t="s">
        <v>5496</v>
      </c>
      <c r="H2184" s="8" t="s">
        <v>6006</v>
      </c>
      <c r="I2184" s="14">
        <v>45301</v>
      </c>
    </row>
    <row r="2185" spans="1:9" x14ac:dyDescent="0.15">
      <c r="A2185" s="5">
        <v>2184</v>
      </c>
      <c r="B2185" s="6" t="s">
        <v>9</v>
      </c>
      <c r="C2185" s="7">
        <v>1882</v>
      </c>
      <c r="D2185" s="8">
        <v>45388</v>
      </c>
      <c r="E2185" s="9" t="str">
        <f>+HYPERLINK("http://trademark.i-assist.jp/data/china/image_1882th/76314149.pdf","76314149")</f>
        <v>76314149</v>
      </c>
      <c r="F2185" s="6" t="s">
        <v>6007</v>
      </c>
      <c r="G2185" s="6" t="s">
        <v>6008</v>
      </c>
      <c r="H2185" s="8" t="s">
        <v>6009</v>
      </c>
      <c r="I2185" s="14">
        <v>45301</v>
      </c>
    </row>
    <row r="2186" spans="1:9" x14ac:dyDescent="0.15">
      <c r="A2186" s="5">
        <v>2185</v>
      </c>
      <c r="B2186" s="6" t="s">
        <v>9</v>
      </c>
      <c r="C2186" s="7">
        <v>1882</v>
      </c>
      <c r="D2186" s="8">
        <v>45388</v>
      </c>
      <c r="E2186" s="9" t="str">
        <f>+HYPERLINK("http://trademark.i-assist.jp/data/china/image_1882th/76314181.pdf","76314181")</f>
        <v>76314181</v>
      </c>
      <c r="F2186" s="6" t="s">
        <v>6010</v>
      </c>
      <c r="G2186" s="6" t="s">
        <v>6011</v>
      </c>
      <c r="H2186" s="8" t="s">
        <v>6012</v>
      </c>
      <c r="I2186" s="14">
        <v>45301</v>
      </c>
    </row>
    <row r="2187" spans="1:9" x14ac:dyDescent="0.15">
      <c r="A2187" s="5">
        <v>2186</v>
      </c>
      <c r="B2187" s="6" t="s">
        <v>9</v>
      </c>
      <c r="C2187" s="7">
        <v>1882</v>
      </c>
      <c r="D2187" s="8">
        <v>45388</v>
      </c>
      <c r="E2187" s="9" t="str">
        <f>+HYPERLINK("http://trademark.i-assist.jp/data/china/image_1882th/76314320.pdf","76314320")</f>
        <v>76314320</v>
      </c>
      <c r="F2187" s="6" t="s">
        <v>6013</v>
      </c>
      <c r="G2187" s="6" t="s">
        <v>5481</v>
      </c>
      <c r="H2187" s="8" t="s">
        <v>6014</v>
      </c>
      <c r="I2187" s="14">
        <v>45301</v>
      </c>
    </row>
    <row r="2188" spans="1:9" x14ac:dyDescent="0.15">
      <c r="A2188" s="5">
        <v>2187</v>
      </c>
      <c r="B2188" s="6" t="s">
        <v>9</v>
      </c>
      <c r="C2188" s="7">
        <v>1882</v>
      </c>
      <c r="D2188" s="8">
        <v>45388</v>
      </c>
      <c r="E2188" s="9" t="str">
        <f>+HYPERLINK("http://trademark.i-assist.jp/data/china/image_1882th/76314368.pdf","76314368")</f>
        <v>76314368</v>
      </c>
      <c r="F2188" s="6" t="s">
        <v>6015</v>
      </c>
      <c r="G2188" s="6" t="s">
        <v>5893</v>
      </c>
      <c r="H2188" s="8" t="s">
        <v>6016</v>
      </c>
      <c r="I2188" s="14">
        <v>45301</v>
      </c>
    </row>
    <row r="2189" spans="1:9" x14ac:dyDescent="0.15">
      <c r="A2189" s="5">
        <v>2188</v>
      </c>
      <c r="B2189" s="6" t="s">
        <v>9</v>
      </c>
      <c r="C2189" s="7">
        <v>1882</v>
      </c>
      <c r="D2189" s="8">
        <v>45388</v>
      </c>
      <c r="E2189" s="9" t="str">
        <f>+HYPERLINK("http://trademark.i-assist.jp/data/china/image_1882th/76314431.pdf","76314431")</f>
        <v>76314431</v>
      </c>
      <c r="F2189" s="6" t="s">
        <v>6017</v>
      </c>
      <c r="G2189" s="6" t="s">
        <v>5481</v>
      </c>
      <c r="H2189" s="8" t="s">
        <v>6018</v>
      </c>
      <c r="I2189" s="14">
        <v>45301</v>
      </c>
    </row>
    <row r="2190" spans="1:9" x14ac:dyDescent="0.15">
      <c r="A2190" s="5">
        <v>2189</v>
      </c>
      <c r="B2190" s="6" t="s">
        <v>9</v>
      </c>
      <c r="C2190" s="7">
        <v>1882</v>
      </c>
      <c r="D2190" s="8">
        <v>45388</v>
      </c>
      <c r="E2190" s="9" t="str">
        <f>+HYPERLINK("http://trademark.i-assist.jp/data/china/image_1882th/76314517.pdf","76314517")</f>
        <v>76314517</v>
      </c>
      <c r="F2190" s="6" t="s">
        <v>6019</v>
      </c>
      <c r="G2190" s="6" t="s">
        <v>5533</v>
      </c>
      <c r="H2190" s="8" t="s">
        <v>6020</v>
      </c>
      <c r="I2190" s="14">
        <v>45301</v>
      </c>
    </row>
    <row r="2191" spans="1:9" x14ac:dyDescent="0.15">
      <c r="A2191" s="5">
        <v>2190</v>
      </c>
      <c r="B2191" s="6" t="s">
        <v>9</v>
      </c>
      <c r="C2191" s="7">
        <v>1882</v>
      </c>
      <c r="D2191" s="8">
        <v>45388</v>
      </c>
      <c r="E2191" s="9" t="str">
        <f>+HYPERLINK("http://trademark.i-assist.jp/data/china/image_1882th/76314566.pdf","76314566")</f>
        <v>76314566</v>
      </c>
      <c r="F2191" s="6" t="s">
        <v>6021</v>
      </c>
      <c r="G2191" s="6" t="s">
        <v>4961</v>
      </c>
      <c r="H2191" s="8" t="s">
        <v>6022</v>
      </c>
      <c r="I2191" s="14">
        <v>45301</v>
      </c>
    </row>
    <row r="2192" spans="1:9" x14ac:dyDescent="0.15">
      <c r="A2192" s="5">
        <v>2191</v>
      </c>
      <c r="B2192" s="6" t="s">
        <v>9</v>
      </c>
      <c r="C2192" s="7">
        <v>1882</v>
      </c>
      <c r="D2192" s="8">
        <v>45388</v>
      </c>
      <c r="E2192" s="9" t="str">
        <f>+HYPERLINK("http://trademark.i-assist.jp/data/china/image_1882th/76314919.pdf","76314919")</f>
        <v>76314919</v>
      </c>
      <c r="F2192" s="6" t="s">
        <v>6023</v>
      </c>
      <c r="G2192" s="6" t="s">
        <v>6024</v>
      </c>
      <c r="H2192" s="8" t="s">
        <v>6025</v>
      </c>
      <c r="I2192" s="14">
        <v>45301</v>
      </c>
    </row>
    <row r="2193" spans="1:9" x14ac:dyDescent="0.15">
      <c r="A2193" s="5">
        <v>2192</v>
      </c>
      <c r="B2193" s="6" t="s">
        <v>9</v>
      </c>
      <c r="C2193" s="7">
        <v>1882</v>
      </c>
      <c r="D2193" s="8">
        <v>45388</v>
      </c>
      <c r="E2193" s="9" t="str">
        <f>+HYPERLINK("http://trademark.i-assist.jp/data/china/image_1882th/76314931.pdf","76314931")</f>
        <v>76314931</v>
      </c>
      <c r="F2193" s="6" t="s">
        <v>6026</v>
      </c>
      <c r="G2193" s="6" t="s">
        <v>3353</v>
      </c>
      <c r="H2193" s="8" t="s">
        <v>6027</v>
      </c>
      <c r="I2193" s="14">
        <v>45301</v>
      </c>
    </row>
    <row r="2194" spans="1:9" x14ac:dyDescent="0.15">
      <c r="A2194" s="5">
        <v>2193</v>
      </c>
      <c r="B2194" s="6" t="s">
        <v>9</v>
      </c>
      <c r="C2194" s="7">
        <v>1882</v>
      </c>
      <c r="D2194" s="8">
        <v>45388</v>
      </c>
      <c r="E2194" s="9" t="str">
        <f>+HYPERLINK("http://trademark.i-assist.jp/data/china/image_1882th/76314941.pdf","76314941")</f>
        <v>76314941</v>
      </c>
      <c r="F2194" s="6" t="s">
        <v>6028</v>
      </c>
      <c r="G2194" s="6" t="s">
        <v>5657</v>
      </c>
      <c r="H2194" s="8" t="s">
        <v>6029</v>
      </c>
      <c r="I2194" s="14">
        <v>45301</v>
      </c>
    </row>
    <row r="2195" spans="1:9" x14ac:dyDescent="0.15">
      <c r="A2195" s="5">
        <v>2194</v>
      </c>
      <c r="B2195" s="6" t="s">
        <v>9</v>
      </c>
      <c r="C2195" s="7">
        <v>1882</v>
      </c>
      <c r="D2195" s="8">
        <v>45388</v>
      </c>
      <c r="E2195" s="9" t="str">
        <f>+HYPERLINK("http://trademark.i-assist.jp/data/china/image_1882th/76314948.pdf","76314948")</f>
        <v>76314948</v>
      </c>
      <c r="F2195" s="6" t="s">
        <v>6030</v>
      </c>
      <c r="G2195" s="6" t="s">
        <v>6031</v>
      </c>
      <c r="H2195" s="8" t="s">
        <v>6032</v>
      </c>
      <c r="I2195" s="14">
        <v>45301</v>
      </c>
    </row>
    <row r="2196" spans="1:9" x14ac:dyDescent="0.15">
      <c r="A2196" s="5">
        <v>2195</v>
      </c>
      <c r="B2196" s="6" t="s">
        <v>9</v>
      </c>
      <c r="C2196" s="7">
        <v>1882</v>
      </c>
      <c r="D2196" s="8">
        <v>45388</v>
      </c>
      <c r="E2196" s="9" t="str">
        <f>+HYPERLINK("http://trademark.i-assist.jp/data/china/image_1882th/76314972.pdf","76314972")</f>
        <v>76314972</v>
      </c>
      <c r="F2196" s="6" t="s">
        <v>6033</v>
      </c>
      <c r="G2196" s="6" t="s">
        <v>6034</v>
      </c>
      <c r="H2196" s="8" t="s">
        <v>6035</v>
      </c>
      <c r="I2196" s="14">
        <v>45301</v>
      </c>
    </row>
    <row r="2197" spans="1:9" x14ac:dyDescent="0.15">
      <c r="A2197" s="5">
        <v>2196</v>
      </c>
      <c r="B2197" s="6" t="s">
        <v>9</v>
      </c>
      <c r="C2197" s="7">
        <v>1882</v>
      </c>
      <c r="D2197" s="8">
        <v>45388</v>
      </c>
      <c r="E2197" s="9" t="str">
        <f>+HYPERLINK("http://trademark.i-assist.jp/data/china/image_1882th/76315000.pdf","76315000")</f>
        <v>76315000</v>
      </c>
      <c r="F2197" s="6" t="s">
        <v>6036</v>
      </c>
      <c r="G2197" s="6" t="s">
        <v>5588</v>
      </c>
      <c r="H2197" s="8" t="s">
        <v>6037</v>
      </c>
      <c r="I2197" s="14">
        <v>45301</v>
      </c>
    </row>
    <row r="2198" spans="1:9" x14ac:dyDescent="0.15">
      <c r="A2198" s="5">
        <v>2197</v>
      </c>
      <c r="B2198" s="6" t="s">
        <v>9</v>
      </c>
      <c r="C2198" s="7">
        <v>1882</v>
      </c>
      <c r="D2198" s="8">
        <v>45388</v>
      </c>
      <c r="E2198" s="9" t="str">
        <f>+HYPERLINK("http://trademark.i-assist.jp/data/china/image_1882th/76315035.pdf","76315035")</f>
        <v>76315035</v>
      </c>
      <c r="F2198" s="6" t="s">
        <v>6038</v>
      </c>
      <c r="G2198" s="6" t="s">
        <v>6039</v>
      </c>
      <c r="H2198" s="8" t="s">
        <v>6040</v>
      </c>
      <c r="I2198" s="14">
        <v>45301</v>
      </c>
    </row>
    <row r="2199" spans="1:9" x14ac:dyDescent="0.15">
      <c r="A2199" s="5">
        <v>2198</v>
      </c>
      <c r="B2199" s="6" t="s">
        <v>9</v>
      </c>
      <c r="C2199" s="7">
        <v>1882</v>
      </c>
      <c r="D2199" s="8">
        <v>45388</v>
      </c>
      <c r="E2199" s="9" t="str">
        <f>+HYPERLINK("http://trademark.i-assist.jp/data/china/image_1882th/76315099.pdf","76315099")</f>
        <v>76315099</v>
      </c>
      <c r="F2199" s="6" t="s">
        <v>6041</v>
      </c>
      <c r="G2199" s="6" t="s">
        <v>6042</v>
      </c>
      <c r="H2199" s="8" t="s">
        <v>6043</v>
      </c>
      <c r="I2199" s="14">
        <v>45301</v>
      </c>
    </row>
    <row r="2200" spans="1:9" x14ac:dyDescent="0.15">
      <c r="A2200" s="5">
        <v>2199</v>
      </c>
      <c r="B2200" s="6" t="s">
        <v>9</v>
      </c>
      <c r="C2200" s="7">
        <v>1882</v>
      </c>
      <c r="D2200" s="8">
        <v>45388</v>
      </c>
      <c r="E2200" s="9" t="str">
        <f>+HYPERLINK("http://trademark.i-assist.jp/data/china/image_1882th/76315157.pdf","76315157")</f>
        <v>76315157</v>
      </c>
      <c r="F2200" s="6" t="s">
        <v>6044</v>
      </c>
      <c r="G2200" s="6" t="s">
        <v>6045</v>
      </c>
      <c r="H2200" s="8" t="s">
        <v>6046</v>
      </c>
      <c r="I2200" s="14">
        <v>45301</v>
      </c>
    </row>
    <row r="2201" spans="1:9" x14ac:dyDescent="0.15">
      <c r="A2201" s="5">
        <v>2200</v>
      </c>
      <c r="B2201" s="6" t="s">
        <v>9</v>
      </c>
      <c r="C2201" s="7">
        <v>1882</v>
      </c>
      <c r="D2201" s="8">
        <v>45388</v>
      </c>
      <c r="E2201" s="9" t="str">
        <f>+HYPERLINK("http://trademark.i-assist.jp/data/china/image_1882th/76315204.pdf","76315204")</f>
        <v>76315204</v>
      </c>
      <c r="F2201" s="6" t="s">
        <v>6047</v>
      </c>
      <c r="G2201" s="6" t="s">
        <v>5012</v>
      </c>
      <c r="H2201" s="8" t="s">
        <v>6048</v>
      </c>
      <c r="I2201" s="14">
        <v>45301</v>
      </c>
    </row>
    <row r="2202" spans="1:9" x14ac:dyDescent="0.15">
      <c r="A2202" s="5">
        <v>2201</v>
      </c>
      <c r="B2202" s="6" t="s">
        <v>9</v>
      </c>
      <c r="C2202" s="7">
        <v>1882</v>
      </c>
      <c r="D2202" s="8">
        <v>45388</v>
      </c>
      <c r="E2202" s="9" t="str">
        <f>+HYPERLINK("http://trademark.i-assist.jp/data/china/image_1882th/76315397.pdf","76315397")</f>
        <v>76315397</v>
      </c>
      <c r="F2202" s="6" t="s">
        <v>6049</v>
      </c>
      <c r="G2202" s="6" t="s">
        <v>6050</v>
      </c>
      <c r="H2202" s="8" t="s">
        <v>6051</v>
      </c>
      <c r="I2202" s="14">
        <v>45301</v>
      </c>
    </row>
    <row r="2203" spans="1:9" x14ac:dyDescent="0.15">
      <c r="A2203" s="5">
        <v>2202</v>
      </c>
      <c r="B2203" s="6" t="s">
        <v>9</v>
      </c>
      <c r="C2203" s="7">
        <v>1882</v>
      </c>
      <c r="D2203" s="8">
        <v>45388</v>
      </c>
      <c r="E2203" s="9" t="str">
        <f>+HYPERLINK("http://trademark.i-assist.jp/data/china/image_1882th/76315483.pdf","76315483")</f>
        <v>76315483</v>
      </c>
      <c r="F2203" s="6" t="s">
        <v>5837</v>
      </c>
      <c r="G2203" s="6" t="s">
        <v>5607</v>
      </c>
      <c r="H2203" s="8" t="s">
        <v>6052</v>
      </c>
      <c r="I2203" s="14">
        <v>45301</v>
      </c>
    </row>
    <row r="2204" spans="1:9" x14ac:dyDescent="0.15">
      <c r="A2204" s="5">
        <v>2203</v>
      </c>
      <c r="B2204" s="6" t="s">
        <v>9</v>
      </c>
      <c r="C2204" s="7">
        <v>1882</v>
      </c>
      <c r="D2204" s="8">
        <v>45388</v>
      </c>
      <c r="E2204" s="9" t="str">
        <f>+HYPERLINK("http://trademark.i-assist.jp/data/china/image_1882th/76315508.pdf","76315508")</f>
        <v>76315508</v>
      </c>
      <c r="F2204" s="6" t="s">
        <v>6053</v>
      </c>
      <c r="G2204" s="6" t="s">
        <v>6054</v>
      </c>
      <c r="H2204" s="8" t="s">
        <v>6055</v>
      </c>
      <c r="I2204" s="14">
        <v>45301</v>
      </c>
    </row>
    <row r="2205" spans="1:9" x14ac:dyDescent="0.15">
      <c r="A2205" s="5">
        <v>2204</v>
      </c>
      <c r="B2205" s="6" t="s">
        <v>9</v>
      </c>
      <c r="C2205" s="7">
        <v>1882</v>
      </c>
      <c r="D2205" s="8">
        <v>45388</v>
      </c>
      <c r="E2205" s="9" t="str">
        <f>+HYPERLINK("http://trademark.i-assist.jp/data/china/image_1882th/76315819.pdf","76315819")</f>
        <v>76315819</v>
      </c>
      <c r="F2205" s="6" t="s">
        <v>6056</v>
      </c>
      <c r="G2205" s="6" t="s">
        <v>5707</v>
      </c>
      <c r="H2205" s="8" t="s">
        <v>6057</v>
      </c>
      <c r="I2205" s="14">
        <v>45301</v>
      </c>
    </row>
    <row r="2206" spans="1:9" x14ac:dyDescent="0.15">
      <c r="A2206" s="5">
        <v>2205</v>
      </c>
      <c r="B2206" s="6" t="s">
        <v>9</v>
      </c>
      <c r="C2206" s="7">
        <v>1882</v>
      </c>
      <c r="D2206" s="8">
        <v>45388</v>
      </c>
      <c r="E2206" s="9" t="str">
        <f>+HYPERLINK("http://trademark.i-assist.jp/data/china/image_1882th/76315888.pdf","76315888")</f>
        <v>76315888</v>
      </c>
      <c r="F2206" s="6" t="s">
        <v>6058</v>
      </c>
      <c r="G2206" s="6" t="s">
        <v>6059</v>
      </c>
      <c r="H2206" s="8" t="s">
        <v>6060</v>
      </c>
      <c r="I2206" s="14">
        <v>45301</v>
      </c>
    </row>
    <row r="2207" spans="1:9" x14ac:dyDescent="0.15">
      <c r="A2207" s="5">
        <v>2206</v>
      </c>
      <c r="B2207" s="6" t="s">
        <v>9</v>
      </c>
      <c r="C2207" s="7">
        <v>1882</v>
      </c>
      <c r="D2207" s="8">
        <v>45388</v>
      </c>
      <c r="E2207" s="9" t="str">
        <f>+HYPERLINK("http://trademark.i-assist.jp/data/china/image_1882th/76315939.pdf","76315939")</f>
        <v>76315939</v>
      </c>
      <c r="F2207" s="6" t="s">
        <v>6061</v>
      </c>
      <c r="G2207" s="6" t="s">
        <v>5481</v>
      </c>
      <c r="H2207" s="8" t="s">
        <v>6062</v>
      </c>
      <c r="I2207" s="14">
        <v>45301</v>
      </c>
    </row>
    <row r="2208" spans="1:9" x14ac:dyDescent="0.15">
      <c r="A2208" s="5">
        <v>2207</v>
      </c>
      <c r="B2208" s="6" t="s">
        <v>9</v>
      </c>
      <c r="C2208" s="7">
        <v>1882</v>
      </c>
      <c r="D2208" s="8">
        <v>45388</v>
      </c>
      <c r="E2208" s="9" t="str">
        <f>+HYPERLINK("http://trademark.i-assist.jp/data/china/image_1882th/76316118.pdf","76316118")</f>
        <v>76316118</v>
      </c>
      <c r="F2208" s="6" t="s">
        <v>26</v>
      </c>
      <c r="G2208" s="6" t="s">
        <v>6063</v>
      </c>
      <c r="H2208" s="8" t="s">
        <v>6064</v>
      </c>
      <c r="I2208" s="14">
        <v>45301</v>
      </c>
    </row>
    <row r="2209" spans="1:9" x14ac:dyDescent="0.15">
      <c r="A2209" s="5">
        <v>2208</v>
      </c>
      <c r="B2209" s="6" t="s">
        <v>9</v>
      </c>
      <c r="C2209" s="7">
        <v>1882</v>
      </c>
      <c r="D2209" s="8">
        <v>45388</v>
      </c>
      <c r="E2209" s="9" t="str">
        <f>+HYPERLINK("http://trademark.i-assist.jp/data/china/image_1882th/76316368.pdf","76316368")</f>
        <v>76316368</v>
      </c>
      <c r="F2209" s="6" t="s">
        <v>6065</v>
      </c>
      <c r="G2209" s="6" t="s">
        <v>6066</v>
      </c>
      <c r="H2209" s="8" t="s">
        <v>6067</v>
      </c>
      <c r="I2209" s="14">
        <v>45301</v>
      </c>
    </row>
    <row r="2210" spans="1:9" x14ac:dyDescent="0.15">
      <c r="A2210" s="5">
        <v>2209</v>
      </c>
      <c r="B2210" s="6" t="s">
        <v>9</v>
      </c>
      <c r="C2210" s="7">
        <v>1882</v>
      </c>
      <c r="D2210" s="8">
        <v>45388</v>
      </c>
      <c r="E2210" s="9" t="str">
        <f>+HYPERLINK("http://trademark.i-assist.jp/data/china/image_1882th/76316369.pdf","76316369")</f>
        <v>76316369</v>
      </c>
      <c r="F2210" s="6" t="s">
        <v>6068</v>
      </c>
      <c r="G2210" s="6" t="s">
        <v>6069</v>
      </c>
      <c r="H2210" s="8" t="s">
        <v>6070</v>
      </c>
      <c r="I2210" s="14">
        <v>45301</v>
      </c>
    </row>
    <row r="2211" spans="1:9" x14ac:dyDescent="0.15">
      <c r="A2211" s="5">
        <v>2210</v>
      </c>
      <c r="B2211" s="6" t="s">
        <v>9</v>
      </c>
      <c r="C2211" s="7">
        <v>1882</v>
      </c>
      <c r="D2211" s="8">
        <v>45388</v>
      </c>
      <c r="E2211" s="9" t="str">
        <f>+HYPERLINK("http://trademark.i-assist.jp/data/china/image_1882th/76316432.pdf","76316432")</f>
        <v>76316432</v>
      </c>
      <c r="F2211" s="6" t="s">
        <v>6071</v>
      </c>
      <c r="G2211" s="6" t="s">
        <v>5785</v>
      </c>
      <c r="H2211" s="8" t="s">
        <v>6072</v>
      </c>
      <c r="I2211" s="14">
        <v>45301</v>
      </c>
    </row>
    <row r="2212" spans="1:9" x14ac:dyDescent="0.15">
      <c r="A2212" s="5">
        <v>2211</v>
      </c>
      <c r="B2212" s="6" t="s">
        <v>9</v>
      </c>
      <c r="C2212" s="7">
        <v>1882</v>
      </c>
      <c r="D2212" s="8">
        <v>45388</v>
      </c>
      <c r="E2212" s="9" t="str">
        <f>+HYPERLINK("http://trademark.i-assist.jp/data/china/image_1882th/76316516.pdf","76316516")</f>
        <v>76316516</v>
      </c>
      <c r="F2212" s="6" t="s">
        <v>26</v>
      </c>
      <c r="G2212" s="6" t="s">
        <v>6073</v>
      </c>
      <c r="H2212" s="8" t="s">
        <v>6074</v>
      </c>
      <c r="I2212" s="14">
        <v>45301</v>
      </c>
    </row>
    <row r="2213" spans="1:9" x14ac:dyDescent="0.15">
      <c r="A2213" s="5">
        <v>2212</v>
      </c>
      <c r="B2213" s="6" t="s">
        <v>9</v>
      </c>
      <c r="C2213" s="7">
        <v>1882</v>
      </c>
      <c r="D2213" s="8">
        <v>45388</v>
      </c>
      <c r="E2213" s="9" t="str">
        <f>+HYPERLINK("http://trademark.i-assist.jp/data/china/image_1882th/76316797.pdf","76316797")</f>
        <v>76316797</v>
      </c>
      <c r="F2213" s="6" t="s">
        <v>6075</v>
      </c>
      <c r="G2213" s="6" t="s">
        <v>5721</v>
      </c>
      <c r="H2213" s="8" t="s">
        <v>6076</v>
      </c>
      <c r="I2213" s="14">
        <v>45301</v>
      </c>
    </row>
    <row r="2214" spans="1:9" x14ac:dyDescent="0.15">
      <c r="A2214" s="5">
        <v>2213</v>
      </c>
      <c r="B2214" s="6" t="s">
        <v>9</v>
      </c>
      <c r="C2214" s="7">
        <v>1882</v>
      </c>
      <c r="D2214" s="8">
        <v>45388</v>
      </c>
      <c r="E2214" s="9" t="str">
        <f>+HYPERLINK("http://trademark.i-assist.jp/data/china/image_1882th/76316937.pdf","76316937")</f>
        <v>76316937</v>
      </c>
      <c r="F2214" s="6" t="s">
        <v>6077</v>
      </c>
      <c r="G2214" s="6" t="s">
        <v>5496</v>
      </c>
      <c r="H2214" s="8" t="s">
        <v>6078</v>
      </c>
      <c r="I2214" s="14">
        <v>45301</v>
      </c>
    </row>
    <row r="2215" spans="1:9" x14ac:dyDescent="0.15">
      <c r="A2215" s="5">
        <v>2214</v>
      </c>
      <c r="B2215" s="6" t="s">
        <v>9</v>
      </c>
      <c r="C2215" s="7">
        <v>1882</v>
      </c>
      <c r="D2215" s="8">
        <v>45388</v>
      </c>
      <c r="E2215" s="9" t="str">
        <f>+HYPERLINK("http://trademark.i-assist.jp/data/china/image_1882th/76317177.pdf","76317177")</f>
        <v>76317177</v>
      </c>
      <c r="F2215" s="6" t="s">
        <v>6079</v>
      </c>
      <c r="G2215" s="6" t="s">
        <v>6080</v>
      </c>
      <c r="H2215" s="8" t="s">
        <v>6081</v>
      </c>
      <c r="I2215" s="14">
        <v>45301</v>
      </c>
    </row>
    <row r="2216" spans="1:9" x14ac:dyDescent="0.15">
      <c r="A2216" s="5">
        <v>2215</v>
      </c>
      <c r="B2216" s="6" t="s">
        <v>9</v>
      </c>
      <c r="C2216" s="7">
        <v>1882</v>
      </c>
      <c r="D2216" s="8">
        <v>45388</v>
      </c>
      <c r="E2216" s="9" t="str">
        <f>+HYPERLINK("http://trademark.i-assist.jp/data/china/image_1882th/76317238.pdf","76317238")</f>
        <v>76317238</v>
      </c>
      <c r="F2216" s="6" t="s">
        <v>6082</v>
      </c>
      <c r="G2216" s="6" t="s">
        <v>5803</v>
      </c>
      <c r="H2216" s="8" t="s">
        <v>6083</v>
      </c>
      <c r="I2216" s="14">
        <v>45301</v>
      </c>
    </row>
    <row r="2217" spans="1:9" x14ac:dyDescent="0.15">
      <c r="A2217" s="5">
        <v>2216</v>
      </c>
      <c r="B2217" s="6" t="s">
        <v>9</v>
      </c>
      <c r="C2217" s="7">
        <v>1882</v>
      </c>
      <c r="D2217" s="8">
        <v>45388</v>
      </c>
      <c r="E2217" s="9" t="str">
        <f>+HYPERLINK("http://trademark.i-assist.jp/data/china/image_1882th/76317242.pdf","76317242")</f>
        <v>76317242</v>
      </c>
      <c r="F2217" s="6" t="s">
        <v>6084</v>
      </c>
      <c r="G2217" s="6" t="s">
        <v>6085</v>
      </c>
      <c r="H2217" s="8" t="s">
        <v>6086</v>
      </c>
      <c r="I2217" s="14">
        <v>45301</v>
      </c>
    </row>
    <row r="2218" spans="1:9" x14ac:dyDescent="0.15">
      <c r="A2218" s="5">
        <v>2217</v>
      </c>
      <c r="B2218" s="6" t="s">
        <v>9</v>
      </c>
      <c r="C2218" s="7">
        <v>1882</v>
      </c>
      <c r="D2218" s="8">
        <v>45388</v>
      </c>
      <c r="E2218" s="9" t="str">
        <f>+HYPERLINK("http://trademark.i-assist.jp/data/china/image_1882th/76317280.pdf","76317280")</f>
        <v>76317280</v>
      </c>
      <c r="F2218" s="6" t="s">
        <v>6087</v>
      </c>
      <c r="G2218" s="6" t="s">
        <v>5481</v>
      </c>
      <c r="H2218" s="8" t="s">
        <v>6088</v>
      </c>
      <c r="I2218" s="14">
        <v>45301</v>
      </c>
    </row>
    <row r="2219" spans="1:9" x14ac:dyDescent="0.15">
      <c r="A2219" s="5">
        <v>2218</v>
      </c>
      <c r="B2219" s="6" t="s">
        <v>9</v>
      </c>
      <c r="C2219" s="7">
        <v>1882</v>
      </c>
      <c r="D2219" s="8">
        <v>45388</v>
      </c>
      <c r="E2219" s="9" t="str">
        <f>+HYPERLINK("http://trademark.i-assist.jp/data/china/image_1882th/76317344.pdf","76317344")</f>
        <v>76317344</v>
      </c>
      <c r="F2219" s="6" t="s">
        <v>6089</v>
      </c>
      <c r="G2219" s="6" t="s">
        <v>5481</v>
      </c>
      <c r="H2219" s="8" t="s">
        <v>6090</v>
      </c>
      <c r="I2219" s="14">
        <v>45301</v>
      </c>
    </row>
    <row r="2220" spans="1:9" x14ac:dyDescent="0.15">
      <c r="A2220" s="5">
        <v>2219</v>
      </c>
      <c r="B2220" s="6" t="s">
        <v>9</v>
      </c>
      <c r="C2220" s="7">
        <v>1882</v>
      </c>
      <c r="D2220" s="8">
        <v>45388</v>
      </c>
      <c r="E2220" s="9" t="str">
        <f>+HYPERLINK("http://trademark.i-assist.jp/data/china/image_1882th/76317358.pdf","76317358")</f>
        <v>76317358</v>
      </c>
      <c r="F2220" s="6" t="s">
        <v>6091</v>
      </c>
      <c r="G2220" s="6" t="s">
        <v>6092</v>
      </c>
      <c r="H2220" s="8" t="s">
        <v>6093</v>
      </c>
      <c r="I2220" s="14">
        <v>45301</v>
      </c>
    </row>
    <row r="2221" spans="1:9" x14ac:dyDescent="0.15">
      <c r="A2221" s="5">
        <v>2220</v>
      </c>
      <c r="B2221" s="6" t="s">
        <v>9</v>
      </c>
      <c r="C2221" s="7">
        <v>1882</v>
      </c>
      <c r="D2221" s="8">
        <v>45388</v>
      </c>
      <c r="E2221" s="9" t="str">
        <f>+HYPERLINK("http://trademark.i-assist.jp/data/china/image_1882th/76317433.pdf","76317433")</f>
        <v>76317433</v>
      </c>
      <c r="F2221" s="6" t="s">
        <v>6094</v>
      </c>
      <c r="G2221" s="6" t="s">
        <v>6095</v>
      </c>
      <c r="H2221" s="8" t="s">
        <v>6096</v>
      </c>
      <c r="I2221" s="14">
        <v>45301</v>
      </c>
    </row>
    <row r="2222" spans="1:9" x14ac:dyDescent="0.15">
      <c r="A2222" s="5">
        <v>2221</v>
      </c>
      <c r="B2222" s="6" t="s">
        <v>9</v>
      </c>
      <c r="C2222" s="7">
        <v>1882</v>
      </c>
      <c r="D2222" s="8">
        <v>45388</v>
      </c>
      <c r="E2222" s="9" t="str">
        <f>+HYPERLINK("http://trademark.i-assist.jp/data/china/image_1882th/76317523.pdf","76317523")</f>
        <v>76317523</v>
      </c>
      <c r="F2222" s="6" t="s">
        <v>6097</v>
      </c>
      <c r="G2222" s="6" t="s">
        <v>4961</v>
      </c>
      <c r="H2222" s="8" t="s">
        <v>6098</v>
      </c>
      <c r="I2222" s="14">
        <v>45301</v>
      </c>
    </row>
    <row r="2223" spans="1:9" x14ac:dyDescent="0.15">
      <c r="A2223" s="5">
        <v>2222</v>
      </c>
      <c r="B2223" s="6" t="s">
        <v>9</v>
      </c>
      <c r="C2223" s="7">
        <v>1882</v>
      </c>
      <c r="D2223" s="8">
        <v>45388</v>
      </c>
      <c r="E2223" s="9" t="str">
        <f>+HYPERLINK("http://trademark.i-assist.jp/data/china/image_1882th/76317664.pdf","76317664")</f>
        <v>76317664</v>
      </c>
      <c r="F2223" s="6" t="s">
        <v>6099</v>
      </c>
      <c r="G2223" s="6" t="s">
        <v>6100</v>
      </c>
      <c r="H2223" s="8" t="s">
        <v>6101</v>
      </c>
      <c r="I2223" s="14">
        <v>45301</v>
      </c>
    </row>
    <row r="2224" spans="1:9" x14ac:dyDescent="0.15">
      <c r="A2224" s="5">
        <v>2223</v>
      </c>
      <c r="B2224" s="6" t="s">
        <v>9</v>
      </c>
      <c r="C2224" s="7">
        <v>1882</v>
      </c>
      <c r="D2224" s="8">
        <v>45388</v>
      </c>
      <c r="E2224" s="9" t="str">
        <f>+HYPERLINK("http://trademark.i-assist.jp/data/china/image_1882th/76317853.pdf","76317853")</f>
        <v>76317853</v>
      </c>
      <c r="F2224" s="6" t="s">
        <v>6102</v>
      </c>
      <c r="G2224" s="6" t="s">
        <v>6103</v>
      </c>
      <c r="H2224" s="8" t="s">
        <v>6104</v>
      </c>
      <c r="I2224" s="14">
        <v>45301</v>
      </c>
    </row>
    <row r="2225" spans="1:9" x14ac:dyDescent="0.15">
      <c r="A2225" s="5">
        <v>2224</v>
      </c>
      <c r="B2225" s="6" t="s">
        <v>9</v>
      </c>
      <c r="C2225" s="7">
        <v>1882</v>
      </c>
      <c r="D2225" s="8">
        <v>45388</v>
      </c>
      <c r="E2225" s="9" t="str">
        <f>+HYPERLINK("http://trademark.i-assist.jp/data/china/image_1882th/76317894.pdf","76317894")</f>
        <v>76317894</v>
      </c>
      <c r="F2225" s="6" t="s">
        <v>6105</v>
      </c>
      <c r="G2225" s="6" t="s">
        <v>3353</v>
      </c>
      <c r="H2225" s="8" t="s">
        <v>6106</v>
      </c>
      <c r="I2225" s="14">
        <v>45301</v>
      </c>
    </row>
    <row r="2226" spans="1:9" x14ac:dyDescent="0.15">
      <c r="A2226" s="5">
        <v>2225</v>
      </c>
      <c r="B2226" s="6" t="s">
        <v>9</v>
      </c>
      <c r="C2226" s="7">
        <v>1882</v>
      </c>
      <c r="D2226" s="8">
        <v>45388</v>
      </c>
      <c r="E2226" s="9" t="str">
        <f>+HYPERLINK("http://trademark.i-assist.jp/data/china/image_1882th/76318066.pdf","76318066")</f>
        <v>76318066</v>
      </c>
      <c r="F2226" s="6" t="s">
        <v>6107</v>
      </c>
      <c r="G2226" s="6" t="s">
        <v>6108</v>
      </c>
      <c r="H2226" s="8" t="s">
        <v>6109</v>
      </c>
      <c r="I2226" s="14">
        <v>45301</v>
      </c>
    </row>
    <row r="2227" spans="1:9" x14ac:dyDescent="0.15">
      <c r="A2227" s="5">
        <v>2226</v>
      </c>
      <c r="B2227" s="6" t="s">
        <v>9</v>
      </c>
      <c r="C2227" s="7">
        <v>1882</v>
      </c>
      <c r="D2227" s="8">
        <v>45388</v>
      </c>
      <c r="E2227" s="9" t="str">
        <f>+HYPERLINK("http://trademark.i-assist.jp/data/china/image_1882th/76318276.pdf","76318276")</f>
        <v>76318276</v>
      </c>
      <c r="F2227" s="6" t="s">
        <v>6110</v>
      </c>
      <c r="G2227" s="6" t="s">
        <v>6111</v>
      </c>
      <c r="H2227" s="8" t="s">
        <v>6112</v>
      </c>
      <c r="I2227" s="14">
        <v>45302</v>
      </c>
    </row>
    <row r="2228" spans="1:9" x14ac:dyDescent="0.15">
      <c r="A2228" s="5">
        <v>2227</v>
      </c>
      <c r="B2228" s="6" t="s">
        <v>9</v>
      </c>
      <c r="C2228" s="7">
        <v>1882</v>
      </c>
      <c r="D2228" s="8">
        <v>45388</v>
      </c>
      <c r="E2228" s="9" t="str">
        <f>+HYPERLINK("http://trademark.i-assist.jp/data/china/image_1882th/76318380.pdf","76318380")</f>
        <v>76318380</v>
      </c>
      <c r="F2228" s="6" t="s">
        <v>6113</v>
      </c>
      <c r="G2228" s="6" t="s">
        <v>6114</v>
      </c>
      <c r="H2228" s="8" t="s">
        <v>6115</v>
      </c>
      <c r="I2228" s="14">
        <v>45302</v>
      </c>
    </row>
    <row r="2229" spans="1:9" x14ac:dyDescent="0.15">
      <c r="A2229" s="5">
        <v>2228</v>
      </c>
      <c r="B2229" s="6" t="s">
        <v>9</v>
      </c>
      <c r="C2229" s="7">
        <v>1882</v>
      </c>
      <c r="D2229" s="8">
        <v>45388</v>
      </c>
      <c r="E2229" s="9" t="str">
        <f>+HYPERLINK("http://trademark.i-assist.jp/data/china/image_1882th/76318384.pdf","76318384")</f>
        <v>76318384</v>
      </c>
      <c r="F2229" s="6" t="s">
        <v>6116</v>
      </c>
      <c r="G2229" s="6" t="s">
        <v>6117</v>
      </c>
      <c r="H2229" s="8" t="s">
        <v>6118</v>
      </c>
      <c r="I2229" s="14">
        <v>45302</v>
      </c>
    </row>
    <row r="2230" spans="1:9" x14ac:dyDescent="0.15">
      <c r="A2230" s="5">
        <v>2229</v>
      </c>
      <c r="B2230" s="6" t="s">
        <v>9</v>
      </c>
      <c r="C2230" s="7">
        <v>1882</v>
      </c>
      <c r="D2230" s="8">
        <v>45388</v>
      </c>
      <c r="E2230" s="9" t="str">
        <f>+HYPERLINK("http://trademark.i-assist.jp/data/china/image_1882th/76318650.pdf","76318650")</f>
        <v>76318650</v>
      </c>
      <c r="F2230" s="6" t="s">
        <v>6119</v>
      </c>
      <c r="G2230" s="6" t="s">
        <v>6120</v>
      </c>
      <c r="H2230" s="8" t="s">
        <v>6121</v>
      </c>
      <c r="I2230" s="14">
        <v>45302</v>
      </c>
    </row>
    <row r="2231" spans="1:9" x14ac:dyDescent="0.15">
      <c r="A2231" s="5">
        <v>2230</v>
      </c>
      <c r="B2231" s="6" t="s">
        <v>9</v>
      </c>
      <c r="C2231" s="7">
        <v>1882</v>
      </c>
      <c r="D2231" s="8">
        <v>45388</v>
      </c>
      <c r="E2231" s="9" t="str">
        <f>+HYPERLINK("http://trademark.i-assist.jp/data/china/image_1882th/76318692.pdf","76318692")</f>
        <v>76318692</v>
      </c>
      <c r="F2231" s="6" t="s">
        <v>6122</v>
      </c>
      <c r="G2231" s="6" t="s">
        <v>6123</v>
      </c>
      <c r="H2231" s="8" t="s">
        <v>6124</v>
      </c>
      <c r="I2231" s="14">
        <v>45302</v>
      </c>
    </row>
    <row r="2232" spans="1:9" x14ac:dyDescent="0.15">
      <c r="A2232" s="5">
        <v>2231</v>
      </c>
      <c r="B2232" s="6" t="s">
        <v>9</v>
      </c>
      <c r="C2232" s="7">
        <v>1882</v>
      </c>
      <c r="D2232" s="8">
        <v>45388</v>
      </c>
      <c r="E2232" s="9" t="str">
        <f>+HYPERLINK("http://trademark.i-assist.jp/data/china/image_1882th/76318771.pdf","76318771")</f>
        <v>76318771</v>
      </c>
      <c r="F2232" s="6" t="s">
        <v>6125</v>
      </c>
      <c r="G2232" s="6" t="s">
        <v>6126</v>
      </c>
      <c r="H2232" s="8" t="s">
        <v>6127</v>
      </c>
      <c r="I2232" s="14">
        <v>45302</v>
      </c>
    </row>
    <row r="2233" spans="1:9" x14ac:dyDescent="0.15">
      <c r="A2233" s="5">
        <v>2232</v>
      </c>
      <c r="B2233" s="6" t="s">
        <v>9</v>
      </c>
      <c r="C2233" s="7">
        <v>1882</v>
      </c>
      <c r="D2233" s="8">
        <v>45388</v>
      </c>
      <c r="E2233" s="9" t="str">
        <f>+HYPERLINK("http://trademark.i-assist.jp/data/china/image_1882th/76318787.pdf","76318787")</f>
        <v>76318787</v>
      </c>
      <c r="F2233" s="6" t="s">
        <v>6128</v>
      </c>
      <c r="G2233" s="6" t="s">
        <v>6129</v>
      </c>
      <c r="H2233" s="8" t="s">
        <v>6130</v>
      </c>
      <c r="I2233" s="14">
        <v>45302</v>
      </c>
    </row>
    <row r="2234" spans="1:9" x14ac:dyDescent="0.15">
      <c r="A2234" s="5">
        <v>2233</v>
      </c>
      <c r="B2234" s="6" t="s">
        <v>9</v>
      </c>
      <c r="C2234" s="7">
        <v>1882</v>
      </c>
      <c r="D2234" s="8">
        <v>45388</v>
      </c>
      <c r="E2234" s="9" t="str">
        <f>+HYPERLINK("http://trademark.i-assist.jp/data/china/image_1882th/76318892.pdf","76318892")</f>
        <v>76318892</v>
      </c>
      <c r="F2234" s="6" t="s">
        <v>6131</v>
      </c>
      <c r="G2234" s="6" t="s">
        <v>6132</v>
      </c>
      <c r="H2234" s="8" t="s">
        <v>6133</v>
      </c>
      <c r="I2234" s="14">
        <v>45302</v>
      </c>
    </row>
    <row r="2235" spans="1:9" x14ac:dyDescent="0.15">
      <c r="A2235" s="5">
        <v>2234</v>
      </c>
      <c r="B2235" s="6" t="s">
        <v>9</v>
      </c>
      <c r="C2235" s="7">
        <v>1882</v>
      </c>
      <c r="D2235" s="8">
        <v>45388</v>
      </c>
      <c r="E2235" s="9" t="str">
        <f>+HYPERLINK("http://trademark.i-assist.jp/data/china/image_1882th/76319001.pdf","76319001")</f>
        <v>76319001</v>
      </c>
      <c r="F2235" s="6" t="s">
        <v>26</v>
      </c>
      <c r="G2235" s="6" t="s">
        <v>6134</v>
      </c>
      <c r="H2235" s="8" t="s">
        <v>6135</v>
      </c>
      <c r="I2235" s="14">
        <v>45302</v>
      </c>
    </row>
    <row r="2236" spans="1:9" x14ac:dyDescent="0.15">
      <c r="A2236" s="5">
        <v>2235</v>
      </c>
      <c r="B2236" s="6" t="s">
        <v>9</v>
      </c>
      <c r="C2236" s="7">
        <v>1882</v>
      </c>
      <c r="D2236" s="8">
        <v>45388</v>
      </c>
      <c r="E2236" s="9" t="str">
        <f>+HYPERLINK("http://trademark.i-assist.jp/data/china/image_1882th/76319003.pdf","76319003")</f>
        <v>76319003</v>
      </c>
      <c r="F2236" s="6" t="s">
        <v>6136</v>
      </c>
      <c r="G2236" s="6" t="s">
        <v>6137</v>
      </c>
      <c r="H2236" s="8" t="s">
        <v>6138</v>
      </c>
      <c r="I2236" s="14">
        <v>45302</v>
      </c>
    </row>
    <row r="2237" spans="1:9" x14ac:dyDescent="0.15">
      <c r="A2237" s="5">
        <v>2236</v>
      </c>
      <c r="B2237" s="6" t="s">
        <v>9</v>
      </c>
      <c r="C2237" s="7">
        <v>1882</v>
      </c>
      <c r="D2237" s="8">
        <v>45388</v>
      </c>
      <c r="E2237" s="9" t="str">
        <f>+HYPERLINK("http://trademark.i-assist.jp/data/china/image_1882th/76319088.pdf","76319088")</f>
        <v>76319088</v>
      </c>
      <c r="F2237" s="6" t="s">
        <v>6139</v>
      </c>
      <c r="G2237" s="6" t="s">
        <v>6140</v>
      </c>
      <c r="H2237" s="8" t="s">
        <v>6141</v>
      </c>
      <c r="I2237" s="14">
        <v>45302</v>
      </c>
    </row>
    <row r="2238" spans="1:9" x14ac:dyDescent="0.15">
      <c r="A2238" s="5">
        <v>2237</v>
      </c>
      <c r="B2238" s="6" t="s">
        <v>9</v>
      </c>
      <c r="C2238" s="7">
        <v>1882</v>
      </c>
      <c r="D2238" s="8">
        <v>45388</v>
      </c>
      <c r="E2238" s="9" t="str">
        <f>+HYPERLINK("http://trademark.i-assist.jp/data/china/image_1882th/76319228.pdf","76319228")</f>
        <v>76319228</v>
      </c>
      <c r="F2238" s="6" t="s">
        <v>26</v>
      </c>
      <c r="G2238" s="6" t="s">
        <v>6142</v>
      </c>
      <c r="H2238" s="8" t="s">
        <v>6143</v>
      </c>
      <c r="I2238" s="14">
        <v>45302</v>
      </c>
    </row>
    <row r="2239" spans="1:9" x14ac:dyDescent="0.15">
      <c r="A2239" s="5">
        <v>2238</v>
      </c>
      <c r="B2239" s="6" t="s">
        <v>9</v>
      </c>
      <c r="C2239" s="7">
        <v>1882</v>
      </c>
      <c r="D2239" s="8">
        <v>45388</v>
      </c>
      <c r="E2239" s="9" t="str">
        <f>+HYPERLINK("http://trademark.i-assist.jp/data/china/image_1882th/76319402.pdf","76319402")</f>
        <v>76319402</v>
      </c>
      <c r="F2239" s="6" t="s">
        <v>6144</v>
      </c>
      <c r="G2239" s="6" t="s">
        <v>6145</v>
      </c>
      <c r="H2239" s="8" t="s">
        <v>6146</v>
      </c>
      <c r="I2239" s="14">
        <v>45302</v>
      </c>
    </row>
    <row r="2240" spans="1:9" x14ac:dyDescent="0.15">
      <c r="A2240" s="5">
        <v>2239</v>
      </c>
      <c r="B2240" s="6" t="s">
        <v>9</v>
      </c>
      <c r="C2240" s="7">
        <v>1882</v>
      </c>
      <c r="D2240" s="8">
        <v>45388</v>
      </c>
      <c r="E2240" s="9" t="str">
        <f>+HYPERLINK("http://trademark.i-assist.jp/data/china/image_1882th/76319483.pdf","76319483")</f>
        <v>76319483</v>
      </c>
      <c r="F2240" s="6" t="s">
        <v>6147</v>
      </c>
      <c r="G2240" s="6" t="s">
        <v>6148</v>
      </c>
      <c r="H2240" s="8" t="s">
        <v>6149</v>
      </c>
      <c r="I2240" s="14">
        <v>45302</v>
      </c>
    </row>
    <row r="2241" spans="1:9" x14ac:dyDescent="0.15">
      <c r="A2241" s="5">
        <v>2240</v>
      </c>
      <c r="B2241" s="6" t="s">
        <v>9</v>
      </c>
      <c r="C2241" s="7">
        <v>1882</v>
      </c>
      <c r="D2241" s="8">
        <v>45388</v>
      </c>
      <c r="E2241" s="9" t="str">
        <f>+HYPERLINK("http://trademark.i-assist.jp/data/china/image_1882th/76319589.pdf","76319589")</f>
        <v>76319589</v>
      </c>
      <c r="F2241" s="6" t="s">
        <v>6150</v>
      </c>
      <c r="G2241" s="6" t="s">
        <v>6151</v>
      </c>
      <c r="H2241" s="8" t="s">
        <v>6152</v>
      </c>
      <c r="I2241" s="14">
        <v>45302</v>
      </c>
    </row>
    <row r="2242" spans="1:9" x14ac:dyDescent="0.15">
      <c r="A2242" s="5">
        <v>2241</v>
      </c>
      <c r="B2242" s="6" t="s">
        <v>9</v>
      </c>
      <c r="C2242" s="7">
        <v>1882</v>
      </c>
      <c r="D2242" s="8">
        <v>45388</v>
      </c>
      <c r="E2242" s="9" t="str">
        <f>+HYPERLINK("http://trademark.i-assist.jp/data/china/image_1882th/76319700.pdf","76319700")</f>
        <v>76319700</v>
      </c>
      <c r="F2242" s="6" t="s">
        <v>6153</v>
      </c>
      <c r="G2242" s="6" t="s">
        <v>6154</v>
      </c>
      <c r="H2242" s="8" t="s">
        <v>6155</v>
      </c>
      <c r="I2242" s="14">
        <v>45302</v>
      </c>
    </row>
    <row r="2243" spans="1:9" x14ac:dyDescent="0.15">
      <c r="A2243" s="5">
        <v>2242</v>
      </c>
      <c r="B2243" s="6" t="s">
        <v>9</v>
      </c>
      <c r="C2243" s="7">
        <v>1882</v>
      </c>
      <c r="D2243" s="8">
        <v>45388</v>
      </c>
      <c r="E2243" s="9" t="str">
        <f>+HYPERLINK("http://trademark.i-assist.jp/data/china/image_1882th/76319714.pdf","76319714")</f>
        <v>76319714</v>
      </c>
      <c r="F2243" s="6" t="s">
        <v>6156</v>
      </c>
      <c r="G2243" s="6" t="s">
        <v>6157</v>
      </c>
      <c r="H2243" s="8" t="s">
        <v>6158</v>
      </c>
      <c r="I2243" s="14">
        <v>45302</v>
      </c>
    </row>
    <row r="2244" spans="1:9" x14ac:dyDescent="0.15">
      <c r="A2244" s="5">
        <v>2243</v>
      </c>
      <c r="B2244" s="6" t="s">
        <v>9</v>
      </c>
      <c r="C2244" s="7">
        <v>1882</v>
      </c>
      <c r="D2244" s="8">
        <v>45388</v>
      </c>
      <c r="E2244" s="9" t="str">
        <f>+HYPERLINK("http://trademark.i-assist.jp/data/china/image_1882th/76319816.pdf","76319816")</f>
        <v>76319816</v>
      </c>
      <c r="F2244" s="6" t="s">
        <v>26</v>
      </c>
      <c r="G2244" s="6" t="s">
        <v>6159</v>
      </c>
      <c r="H2244" s="8" t="s">
        <v>6160</v>
      </c>
      <c r="I2244" s="14">
        <v>45302</v>
      </c>
    </row>
    <row r="2245" spans="1:9" x14ac:dyDescent="0.15">
      <c r="A2245" s="5">
        <v>2244</v>
      </c>
      <c r="B2245" s="6" t="s">
        <v>9</v>
      </c>
      <c r="C2245" s="7">
        <v>1882</v>
      </c>
      <c r="D2245" s="8">
        <v>45388</v>
      </c>
      <c r="E2245" s="9" t="str">
        <f>+HYPERLINK("http://trademark.i-assist.jp/data/china/image_1882th/76319844.pdf","76319844")</f>
        <v>76319844</v>
      </c>
      <c r="F2245" s="6" t="s">
        <v>6161</v>
      </c>
      <c r="G2245" s="6" t="s">
        <v>6162</v>
      </c>
      <c r="H2245" s="8" t="s">
        <v>6163</v>
      </c>
      <c r="I2245" s="14">
        <v>45302</v>
      </c>
    </row>
    <row r="2246" spans="1:9" x14ac:dyDescent="0.15">
      <c r="A2246" s="5">
        <v>2245</v>
      </c>
      <c r="B2246" s="6" t="s">
        <v>9</v>
      </c>
      <c r="C2246" s="7">
        <v>1882</v>
      </c>
      <c r="D2246" s="8">
        <v>45388</v>
      </c>
      <c r="E2246" s="9" t="str">
        <f>+HYPERLINK("http://trademark.i-assist.jp/data/china/image_1882th/76319847.pdf","76319847")</f>
        <v>76319847</v>
      </c>
      <c r="F2246" s="6" t="s">
        <v>6164</v>
      </c>
      <c r="G2246" s="6" t="s">
        <v>6165</v>
      </c>
      <c r="H2246" s="8" t="s">
        <v>6166</v>
      </c>
      <c r="I2246" s="14">
        <v>45302</v>
      </c>
    </row>
    <row r="2247" spans="1:9" x14ac:dyDescent="0.15">
      <c r="A2247" s="5">
        <v>2246</v>
      </c>
      <c r="B2247" s="6" t="s">
        <v>9</v>
      </c>
      <c r="C2247" s="7">
        <v>1882</v>
      </c>
      <c r="D2247" s="8">
        <v>45388</v>
      </c>
      <c r="E2247" s="9" t="str">
        <f>+HYPERLINK("http://trademark.i-assist.jp/data/china/image_1882th/76319848.pdf","76319848")</f>
        <v>76319848</v>
      </c>
      <c r="F2247" s="6" t="s">
        <v>6167</v>
      </c>
      <c r="G2247" s="6" t="s">
        <v>6168</v>
      </c>
      <c r="H2247" s="8" t="s">
        <v>6169</v>
      </c>
      <c r="I2247" s="14">
        <v>45302</v>
      </c>
    </row>
    <row r="2248" spans="1:9" x14ac:dyDescent="0.15">
      <c r="A2248" s="5">
        <v>2247</v>
      </c>
      <c r="B2248" s="6" t="s">
        <v>9</v>
      </c>
      <c r="C2248" s="7">
        <v>1882</v>
      </c>
      <c r="D2248" s="8">
        <v>45388</v>
      </c>
      <c r="E2248" s="9" t="str">
        <f>+HYPERLINK("http://trademark.i-assist.jp/data/china/image_1882th/76319885.pdf","76319885")</f>
        <v>76319885</v>
      </c>
      <c r="F2248" s="6" t="s">
        <v>6170</v>
      </c>
      <c r="G2248" s="6" t="s">
        <v>6165</v>
      </c>
      <c r="H2248" s="8" t="s">
        <v>6171</v>
      </c>
      <c r="I2248" s="14">
        <v>45302</v>
      </c>
    </row>
    <row r="2249" spans="1:9" x14ac:dyDescent="0.15">
      <c r="A2249" s="5">
        <v>2248</v>
      </c>
      <c r="B2249" s="6" t="s">
        <v>9</v>
      </c>
      <c r="C2249" s="7">
        <v>1882</v>
      </c>
      <c r="D2249" s="8">
        <v>45388</v>
      </c>
      <c r="E2249" s="9" t="str">
        <f>+HYPERLINK("http://trademark.i-assist.jp/data/china/image_1882th/76319955.pdf","76319955")</f>
        <v>76319955</v>
      </c>
      <c r="F2249" s="6" t="s">
        <v>6172</v>
      </c>
      <c r="G2249" s="6" t="s">
        <v>6173</v>
      </c>
      <c r="H2249" s="8" t="s">
        <v>6174</v>
      </c>
      <c r="I2249" s="14">
        <v>45302</v>
      </c>
    </row>
    <row r="2250" spans="1:9" x14ac:dyDescent="0.15">
      <c r="A2250" s="5">
        <v>2249</v>
      </c>
      <c r="B2250" s="6" t="s">
        <v>9</v>
      </c>
      <c r="C2250" s="7">
        <v>1882</v>
      </c>
      <c r="D2250" s="8">
        <v>45388</v>
      </c>
      <c r="E2250" s="9" t="str">
        <f>+HYPERLINK("http://trademark.i-assist.jp/data/china/image_1882th/76320147.pdf","76320147")</f>
        <v>76320147</v>
      </c>
      <c r="F2250" s="6" t="s">
        <v>6175</v>
      </c>
      <c r="G2250" s="6" t="s">
        <v>6176</v>
      </c>
      <c r="H2250" s="8" t="s">
        <v>6177</v>
      </c>
      <c r="I2250" s="14">
        <v>45302</v>
      </c>
    </row>
    <row r="2251" spans="1:9" x14ac:dyDescent="0.15">
      <c r="A2251" s="5">
        <v>2250</v>
      </c>
      <c r="B2251" s="6" t="s">
        <v>9</v>
      </c>
      <c r="C2251" s="7">
        <v>1882</v>
      </c>
      <c r="D2251" s="8">
        <v>45388</v>
      </c>
      <c r="E2251" s="9" t="str">
        <f>+HYPERLINK("http://trademark.i-assist.jp/data/china/image_1882th/76320276.pdf","76320276")</f>
        <v>76320276</v>
      </c>
      <c r="F2251" s="6" t="s">
        <v>6178</v>
      </c>
      <c r="G2251" s="6" t="s">
        <v>6165</v>
      </c>
      <c r="H2251" s="8" t="s">
        <v>6179</v>
      </c>
      <c r="I2251" s="14">
        <v>45302</v>
      </c>
    </row>
    <row r="2252" spans="1:9" x14ac:dyDescent="0.15">
      <c r="A2252" s="5">
        <v>2251</v>
      </c>
      <c r="B2252" s="6" t="s">
        <v>9</v>
      </c>
      <c r="C2252" s="7">
        <v>1882</v>
      </c>
      <c r="D2252" s="8">
        <v>45388</v>
      </c>
      <c r="E2252" s="9" t="str">
        <f>+HYPERLINK("http://trademark.i-assist.jp/data/china/image_1882th/76320443.pdf","76320443")</f>
        <v>76320443</v>
      </c>
      <c r="F2252" s="6" t="s">
        <v>6180</v>
      </c>
      <c r="G2252" s="6" t="s">
        <v>6181</v>
      </c>
      <c r="H2252" s="8" t="s">
        <v>6182</v>
      </c>
      <c r="I2252" s="14">
        <v>45302</v>
      </c>
    </row>
    <row r="2253" spans="1:9" x14ac:dyDescent="0.15">
      <c r="A2253" s="5">
        <v>2252</v>
      </c>
      <c r="B2253" s="6" t="s">
        <v>9</v>
      </c>
      <c r="C2253" s="7">
        <v>1882</v>
      </c>
      <c r="D2253" s="8">
        <v>45388</v>
      </c>
      <c r="E2253" s="9" t="str">
        <f>+HYPERLINK("http://trademark.i-assist.jp/data/china/image_1882th/76320484.pdf","76320484")</f>
        <v>76320484</v>
      </c>
      <c r="F2253" s="6" t="s">
        <v>6183</v>
      </c>
      <c r="G2253" s="6" t="s">
        <v>6184</v>
      </c>
      <c r="H2253" s="8" t="s">
        <v>6185</v>
      </c>
      <c r="I2253" s="14">
        <v>45302</v>
      </c>
    </row>
    <row r="2254" spans="1:9" x14ac:dyDescent="0.15">
      <c r="A2254" s="5">
        <v>2253</v>
      </c>
      <c r="B2254" s="6" t="s">
        <v>9</v>
      </c>
      <c r="C2254" s="7">
        <v>1882</v>
      </c>
      <c r="D2254" s="8">
        <v>45388</v>
      </c>
      <c r="E2254" s="9" t="str">
        <f>+HYPERLINK("http://trademark.i-assist.jp/data/china/image_1882th/76320639.pdf","76320639")</f>
        <v>76320639</v>
      </c>
      <c r="F2254" s="6" t="s">
        <v>6186</v>
      </c>
      <c r="G2254" s="6" t="s">
        <v>6187</v>
      </c>
      <c r="H2254" s="8" t="s">
        <v>6188</v>
      </c>
      <c r="I2254" s="14">
        <v>45302</v>
      </c>
    </row>
    <row r="2255" spans="1:9" x14ac:dyDescent="0.15">
      <c r="A2255" s="5">
        <v>2254</v>
      </c>
      <c r="B2255" s="6" t="s">
        <v>9</v>
      </c>
      <c r="C2255" s="7">
        <v>1882</v>
      </c>
      <c r="D2255" s="8">
        <v>45388</v>
      </c>
      <c r="E2255" s="9" t="str">
        <f>+HYPERLINK("http://trademark.i-assist.jp/data/china/image_1882th/76320739.pdf","76320739")</f>
        <v>76320739</v>
      </c>
      <c r="F2255" s="6" t="s">
        <v>6189</v>
      </c>
      <c r="G2255" s="6" t="s">
        <v>6190</v>
      </c>
      <c r="H2255" s="8" t="s">
        <v>6191</v>
      </c>
      <c r="I2255" s="14">
        <v>45302</v>
      </c>
    </row>
    <row r="2256" spans="1:9" x14ac:dyDescent="0.15">
      <c r="A2256" s="5">
        <v>2255</v>
      </c>
      <c r="B2256" s="6" t="s">
        <v>9</v>
      </c>
      <c r="C2256" s="7">
        <v>1882</v>
      </c>
      <c r="D2256" s="8">
        <v>45388</v>
      </c>
      <c r="E2256" s="9" t="str">
        <f>+HYPERLINK("http://trademark.i-assist.jp/data/china/image_1882th/76321161.pdf","76321161")</f>
        <v>76321161</v>
      </c>
      <c r="F2256" s="6" t="s">
        <v>6192</v>
      </c>
      <c r="G2256" s="6" t="s">
        <v>6193</v>
      </c>
      <c r="H2256" s="8" t="s">
        <v>6194</v>
      </c>
      <c r="I2256" s="14">
        <v>45302</v>
      </c>
    </row>
    <row r="2257" spans="1:9" x14ac:dyDescent="0.15">
      <c r="A2257" s="5">
        <v>2256</v>
      </c>
      <c r="B2257" s="6" t="s">
        <v>9</v>
      </c>
      <c r="C2257" s="7">
        <v>1882</v>
      </c>
      <c r="D2257" s="8">
        <v>45388</v>
      </c>
      <c r="E2257" s="9" t="str">
        <f>+HYPERLINK("http://trademark.i-assist.jp/data/china/image_1882th/76321356.pdf","76321356")</f>
        <v>76321356</v>
      </c>
      <c r="F2257" s="6" t="s">
        <v>6195</v>
      </c>
      <c r="G2257" s="6" t="s">
        <v>6196</v>
      </c>
      <c r="H2257" s="8" t="s">
        <v>6197</v>
      </c>
      <c r="I2257" s="14">
        <v>45302</v>
      </c>
    </row>
    <row r="2258" spans="1:9" x14ac:dyDescent="0.15">
      <c r="A2258" s="5">
        <v>2257</v>
      </c>
      <c r="B2258" s="6" t="s">
        <v>9</v>
      </c>
      <c r="C2258" s="7">
        <v>1882</v>
      </c>
      <c r="D2258" s="8">
        <v>45388</v>
      </c>
      <c r="E2258" s="9" t="str">
        <f>+HYPERLINK("http://trademark.i-assist.jp/data/china/image_1882th/76321381.pdf","76321381")</f>
        <v>76321381</v>
      </c>
      <c r="F2258" s="6" t="s">
        <v>6198</v>
      </c>
      <c r="G2258" s="6" t="s">
        <v>6199</v>
      </c>
      <c r="H2258" s="8" t="s">
        <v>6200</v>
      </c>
      <c r="I2258" s="14">
        <v>45302</v>
      </c>
    </row>
    <row r="2259" spans="1:9" x14ac:dyDescent="0.15">
      <c r="A2259" s="5">
        <v>2258</v>
      </c>
      <c r="B2259" s="6" t="s">
        <v>9</v>
      </c>
      <c r="C2259" s="7">
        <v>1882</v>
      </c>
      <c r="D2259" s="8">
        <v>45388</v>
      </c>
      <c r="E2259" s="9" t="str">
        <f>+HYPERLINK("http://trademark.i-assist.jp/data/china/image_1882th/76321590.pdf","76321590")</f>
        <v>76321590</v>
      </c>
      <c r="F2259" s="6" t="s">
        <v>6201</v>
      </c>
      <c r="G2259" s="6" t="s">
        <v>4476</v>
      </c>
      <c r="H2259" s="8" t="s">
        <v>6202</v>
      </c>
      <c r="I2259" s="14">
        <v>45302</v>
      </c>
    </row>
    <row r="2260" spans="1:9" x14ac:dyDescent="0.15">
      <c r="A2260" s="5">
        <v>2259</v>
      </c>
      <c r="B2260" s="6" t="s">
        <v>9</v>
      </c>
      <c r="C2260" s="7">
        <v>1882</v>
      </c>
      <c r="D2260" s="8">
        <v>45388</v>
      </c>
      <c r="E2260" s="9" t="str">
        <f>+HYPERLINK("http://trademark.i-assist.jp/data/china/image_1882th/76321690.pdf","76321690")</f>
        <v>76321690</v>
      </c>
      <c r="F2260" s="6" t="s">
        <v>6203</v>
      </c>
      <c r="G2260" s="6" t="s">
        <v>6204</v>
      </c>
      <c r="H2260" s="8" t="s">
        <v>6205</v>
      </c>
      <c r="I2260" s="14">
        <v>45302</v>
      </c>
    </row>
    <row r="2261" spans="1:9" x14ac:dyDescent="0.15">
      <c r="A2261" s="5">
        <v>2260</v>
      </c>
      <c r="B2261" s="6" t="s">
        <v>9</v>
      </c>
      <c r="C2261" s="7">
        <v>1882</v>
      </c>
      <c r="D2261" s="8">
        <v>45388</v>
      </c>
      <c r="E2261" s="9" t="str">
        <f>+HYPERLINK("http://trademark.i-assist.jp/data/china/image_1882th/76321930.pdf","76321930")</f>
        <v>76321930</v>
      </c>
      <c r="F2261" s="6" t="s">
        <v>6206</v>
      </c>
      <c r="G2261" s="6" t="s">
        <v>6207</v>
      </c>
      <c r="H2261" s="8" t="s">
        <v>6208</v>
      </c>
      <c r="I2261" s="14">
        <v>45302</v>
      </c>
    </row>
    <row r="2262" spans="1:9" x14ac:dyDescent="0.15">
      <c r="A2262" s="5">
        <v>2261</v>
      </c>
      <c r="B2262" s="6" t="s">
        <v>9</v>
      </c>
      <c r="C2262" s="7">
        <v>1882</v>
      </c>
      <c r="D2262" s="8">
        <v>45388</v>
      </c>
      <c r="E2262" s="9" t="str">
        <f>+HYPERLINK("http://trademark.i-assist.jp/data/china/image_1882th/76322086.pdf","76322086")</f>
        <v>76322086</v>
      </c>
      <c r="F2262" s="6" t="s">
        <v>6209</v>
      </c>
      <c r="G2262" s="6" t="s">
        <v>6210</v>
      </c>
      <c r="H2262" s="8" t="s">
        <v>6211</v>
      </c>
      <c r="I2262" s="14">
        <v>45302</v>
      </c>
    </row>
    <row r="2263" spans="1:9" x14ac:dyDescent="0.15">
      <c r="A2263" s="5">
        <v>2262</v>
      </c>
      <c r="B2263" s="6" t="s">
        <v>9</v>
      </c>
      <c r="C2263" s="7">
        <v>1882</v>
      </c>
      <c r="D2263" s="8">
        <v>45388</v>
      </c>
      <c r="E2263" s="9" t="str">
        <f>+HYPERLINK("http://trademark.i-assist.jp/data/china/image_1882th/76322179.pdf","76322179")</f>
        <v>76322179</v>
      </c>
      <c r="F2263" s="6" t="s">
        <v>6212</v>
      </c>
      <c r="G2263" s="6" t="s">
        <v>6213</v>
      </c>
      <c r="H2263" s="8" t="s">
        <v>6214</v>
      </c>
      <c r="I2263" s="14">
        <v>45302</v>
      </c>
    </row>
    <row r="2264" spans="1:9" x14ac:dyDescent="0.15">
      <c r="A2264" s="5">
        <v>2263</v>
      </c>
      <c r="B2264" s="6" t="s">
        <v>9</v>
      </c>
      <c r="C2264" s="7">
        <v>1882</v>
      </c>
      <c r="D2264" s="8">
        <v>45388</v>
      </c>
      <c r="E2264" s="9" t="str">
        <f>+HYPERLINK("http://trademark.i-assist.jp/data/china/image_1882th/76322283.pdf","76322283")</f>
        <v>76322283</v>
      </c>
      <c r="F2264" s="6" t="s">
        <v>6215</v>
      </c>
      <c r="G2264" s="6" t="s">
        <v>6216</v>
      </c>
      <c r="H2264" s="8" t="s">
        <v>6217</v>
      </c>
      <c r="I2264" s="14">
        <v>45302</v>
      </c>
    </row>
    <row r="2265" spans="1:9" x14ac:dyDescent="0.15">
      <c r="A2265" s="5">
        <v>2264</v>
      </c>
      <c r="B2265" s="6" t="s">
        <v>9</v>
      </c>
      <c r="C2265" s="7">
        <v>1882</v>
      </c>
      <c r="D2265" s="8">
        <v>45388</v>
      </c>
      <c r="E2265" s="9" t="str">
        <f>+HYPERLINK("http://trademark.i-assist.jp/data/china/image_1882th/76322347.pdf","76322347")</f>
        <v>76322347</v>
      </c>
      <c r="F2265" s="6" t="s">
        <v>26</v>
      </c>
      <c r="G2265" s="6" t="s">
        <v>6218</v>
      </c>
      <c r="H2265" s="8" t="s">
        <v>6219</v>
      </c>
      <c r="I2265" s="14">
        <v>45302</v>
      </c>
    </row>
    <row r="2266" spans="1:9" x14ac:dyDescent="0.15">
      <c r="A2266" s="5">
        <v>2265</v>
      </c>
      <c r="B2266" s="6" t="s">
        <v>9</v>
      </c>
      <c r="C2266" s="7">
        <v>1882</v>
      </c>
      <c r="D2266" s="8">
        <v>45388</v>
      </c>
      <c r="E2266" s="9" t="str">
        <f>+HYPERLINK("http://trademark.i-assist.jp/data/china/image_1882th/76322397.pdf","76322397")</f>
        <v>76322397</v>
      </c>
      <c r="F2266" s="6" t="s">
        <v>6220</v>
      </c>
      <c r="G2266" s="6" t="s">
        <v>6221</v>
      </c>
      <c r="H2266" s="8" t="s">
        <v>6222</v>
      </c>
      <c r="I2266" s="14">
        <v>45302</v>
      </c>
    </row>
    <row r="2267" spans="1:9" x14ac:dyDescent="0.15">
      <c r="A2267" s="5">
        <v>2266</v>
      </c>
      <c r="B2267" s="6" t="s">
        <v>9</v>
      </c>
      <c r="C2267" s="7">
        <v>1882</v>
      </c>
      <c r="D2267" s="8">
        <v>45388</v>
      </c>
      <c r="E2267" s="9" t="str">
        <f>+HYPERLINK("http://trademark.i-assist.jp/data/china/image_1882th/76322559.pdf","76322559")</f>
        <v>76322559</v>
      </c>
      <c r="F2267" s="6" t="s">
        <v>6223</v>
      </c>
      <c r="G2267" s="6" t="s">
        <v>6224</v>
      </c>
      <c r="H2267" s="8" t="s">
        <v>6225</v>
      </c>
      <c r="I2267" s="14">
        <v>45302</v>
      </c>
    </row>
    <row r="2268" spans="1:9" x14ac:dyDescent="0.15">
      <c r="A2268" s="5">
        <v>2267</v>
      </c>
      <c r="B2268" s="6" t="s">
        <v>9</v>
      </c>
      <c r="C2268" s="7">
        <v>1882</v>
      </c>
      <c r="D2268" s="8">
        <v>45388</v>
      </c>
      <c r="E2268" s="9" t="str">
        <f>+HYPERLINK("http://trademark.i-assist.jp/data/china/image_1882th/76322915.pdf","76322915")</f>
        <v>76322915</v>
      </c>
      <c r="F2268" s="6" t="s">
        <v>6226</v>
      </c>
      <c r="G2268" s="6" t="s">
        <v>6227</v>
      </c>
      <c r="H2268" s="8" t="s">
        <v>6228</v>
      </c>
      <c r="I2268" s="14">
        <v>45302</v>
      </c>
    </row>
    <row r="2269" spans="1:9" x14ac:dyDescent="0.15">
      <c r="A2269" s="5">
        <v>2268</v>
      </c>
      <c r="B2269" s="6" t="s">
        <v>9</v>
      </c>
      <c r="C2269" s="7">
        <v>1882</v>
      </c>
      <c r="D2269" s="8">
        <v>45388</v>
      </c>
      <c r="E2269" s="9" t="str">
        <f>+HYPERLINK("http://trademark.i-assist.jp/data/china/image_1882th/76323046.pdf","76323046")</f>
        <v>76323046</v>
      </c>
      <c r="F2269" s="6" t="s">
        <v>6229</v>
      </c>
      <c r="G2269" s="6" t="s">
        <v>6230</v>
      </c>
      <c r="H2269" s="8" t="s">
        <v>6231</v>
      </c>
      <c r="I2269" s="14">
        <v>45302</v>
      </c>
    </row>
    <row r="2270" spans="1:9" x14ac:dyDescent="0.15">
      <c r="A2270" s="5">
        <v>2269</v>
      </c>
      <c r="B2270" s="6" t="s">
        <v>9</v>
      </c>
      <c r="C2270" s="7">
        <v>1882</v>
      </c>
      <c r="D2270" s="8">
        <v>45388</v>
      </c>
      <c r="E2270" s="9" t="str">
        <f>+HYPERLINK("http://trademark.i-assist.jp/data/china/image_1882th/76323062.pdf","76323062")</f>
        <v>76323062</v>
      </c>
      <c r="F2270" s="6" t="s">
        <v>6232</v>
      </c>
      <c r="G2270" s="6" t="s">
        <v>6233</v>
      </c>
      <c r="H2270" s="8" t="s">
        <v>6234</v>
      </c>
      <c r="I2270" s="14">
        <v>45302</v>
      </c>
    </row>
    <row r="2271" spans="1:9" x14ac:dyDescent="0.15">
      <c r="A2271" s="5">
        <v>2270</v>
      </c>
      <c r="B2271" s="6" t="s">
        <v>9</v>
      </c>
      <c r="C2271" s="7">
        <v>1882</v>
      </c>
      <c r="D2271" s="8">
        <v>45388</v>
      </c>
      <c r="E2271" s="9" t="str">
        <f>+HYPERLINK("http://trademark.i-assist.jp/data/china/image_1882th/76323287.pdf","76323287")</f>
        <v>76323287</v>
      </c>
      <c r="F2271" s="6" t="s">
        <v>6235</v>
      </c>
      <c r="G2271" s="6" t="s">
        <v>6207</v>
      </c>
      <c r="H2271" s="8" t="s">
        <v>6236</v>
      </c>
      <c r="I2271" s="14">
        <v>45302</v>
      </c>
    </row>
    <row r="2272" spans="1:9" x14ac:dyDescent="0.15">
      <c r="A2272" s="5">
        <v>2271</v>
      </c>
      <c r="B2272" s="6" t="s">
        <v>9</v>
      </c>
      <c r="C2272" s="7">
        <v>1882</v>
      </c>
      <c r="D2272" s="8">
        <v>45388</v>
      </c>
      <c r="E2272" s="9" t="str">
        <f>+HYPERLINK("http://trademark.i-assist.jp/data/china/image_1882th/76323620.pdf","76323620")</f>
        <v>76323620</v>
      </c>
      <c r="F2272" s="6" t="s">
        <v>6237</v>
      </c>
      <c r="G2272" s="6" t="s">
        <v>6238</v>
      </c>
      <c r="H2272" s="8" t="s">
        <v>6239</v>
      </c>
      <c r="I2272" s="14">
        <v>45302</v>
      </c>
    </row>
    <row r="2273" spans="1:9" x14ac:dyDescent="0.15">
      <c r="A2273" s="5">
        <v>2272</v>
      </c>
      <c r="B2273" s="6" t="s">
        <v>9</v>
      </c>
      <c r="C2273" s="7">
        <v>1882</v>
      </c>
      <c r="D2273" s="8">
        <v>45388</v>
      </c>
      <c r="E2273" s="9" t="str">
        <f>+HYPERLINK("http://trademark.i-assist.jp/data/china/image_1882th/76323728.pdf","76323728")</f>
        <v>76323728</v>
      </c>
      <c r="F2273" s="6" t="s">
        <v>6240</v>
      </c>
      <c r="G2273" s="6" t="s">
        <v>6241</v>
      </c>
      <c r="H2273" s="8" t="s">
        <v>6242</v>
      </c>
      <c r="I2273" s="14">
        <v>45302</v>
      </c>
    </row>
    <row r="2274" spans="1:9" x14ac:dyDescent="0.15">
      <c r="A2274" s="5">
        <v>2273</v>
      </c>
      <c r="B2274" s="6" t="s">
        <v>9</v>
      </c>
      <c r="C2274" s="7">
        <v>1882</v>
      </c>
      <c r="D2274" s="8">
        <v>45388</v>
      </c>
      <c r="E2274" s="9" t="str">
        <f>+HYPERLINK("http://trademark.i-assist.jp/data/china/image_1882th/76323730.pdf","76323730")</f>
        <v>76323730</v>
      </c>
      <c r="F2274" s="6" t="s">
        <v>6243</v>
      </c>
      <c r="G2274" s="6" t="s">
        <v>6244</v>
      </c>
      <c r="H2274" s="8" t="s">
        <v>6245</v>
      </c>
      <c r="I2274" s="14">
        <v>45302</v>
      </c>
    </row>
    <row r="2275" spans="1:9" x14ac:dyDescent="0.15">
      <c r="A2275" s="5">
        <v>2274</v>
      </c>
      <c r="B2275" s="6" t="s">
        <v>9</v>
      </c>
      <c r="C2275" s="7">
        <v>1882</v>
      </c>
      <c r="D2275" s="8">
        <v>45388</v>
      </c>
      <c r="E2275" s="9" t="str">
        <f>+HYPERLINK("http://trademark.i-assist.jp/data/china/image_1882th/76323855.pdf","76323855")</f>
        <v>76323855</v>
      </c>
      <c r="F2275" s="6" t="s">
        <v>6246</v>
      </c>
      <c r="G2275" s="6" t="s">
        <v>6247</v>
      </c>
      <c r="H2275" s="8" t="s">
        <v>6248</v>
      </c>
      <c r="I2275" s="14">
        <v>45302</v>
      </c>
    </row>
    <row r="2276" spans="1:9" x14ac:dyDescent="0.15">
      <c r="A2276" s="5">
        <v>2275</v>
      </c>
      <c r="B2276" s="6" t="s">
        <v>9</v>
      </c>
      <c r="C2276" s="7">
        <v>1882</v>
      </c>
      <c r="D2276" s="8">
        <v>45388</v>
      </c>
      <c r="E2276" s="9" t="str">
        <f>+HYPERLINK("http://trademark.i-assist.jp/data/china/image_1882th/76324002.pdf","76324002")</f>
        <v>76324002</v>
      </c>
      <c r="F2276" s="6" t="s">
        <v>6249</v>
      </c>
      <c r="G2276" s="6" t="s">
        <v>6250</v>
      </c>
      <c r="H2276" s="8" t="s">
        <v>6251</v>
      </c>
      <c r="I2276" s="14">
        <v>45302</v>
      </c>
    </row>
    <row r="2277" spans="1:9" x14ac:dyDescent="0.15">
      <c r="A2277" s="5">
        <v>2276</v>
      </c>
      <c r="B2277" s="6" t="s">
        <v>9</v>
      </c>
      <c r="C2277" s="7">
        <v>1882</v>
      </c>
      <c r="D2277" s="8">
        <v>45388</v>
      </c>
      <c r="E2277" s="9" t="str">
        <f>+HYPERLINK("http://trademark.i-assist.jp/data/china/image_1882th/76324299.pdf","76324299")</f>
        <v>76324299</v>
      </c>
      <c r="F2277" s="6" t="s">
        <v>6252</v>
      </c>
      <c r="G2277" s="6" t="s">
        <v>6162</v>
      </c>
      <c r="H2277" s="8" t="s">
        <v>6253</v>
      </c>
      <c r="I2277" s="14">
        <v>45302</v>
      </c>
    </row>
    <row r="2278" spans="1:9" x14ac:dyDescent="0.15">
      <c r="A2278" s="5">
        <v>2277</v>
      </c>
      <c r="B2278" s="6" t="s">
        <v>9</v>
      </c>
      <c r="C2278" s="7">
        <v>1882</v>
      </c>
      <c r="D2278" s="8">
        <v>45388</v>
      </c>
      <c r="E2278" s="9" t="str">
        <f>+HYPERLINK("http://trademark.i-assist.jp/data/china/image_1882th/76324302.pdf","76324302")</f>
        <v>76324302</v>
      </c>
      <c r="F2278" s="6" t="s">
        <v>6254</v>
      </c>
      <c r="G2278" s="6" t="s">
        <v>2631</v>
      </c>
      <c r="H2278" s="8" t="s">
        <v>6255</v>
      </c>
      <c r="I2278" s="14">
        <v>45302</v>
      </c>
    </row>
    <row r="2279" spans="1:9" x14ac:dyDescent="0.15">
      <c r="A2279" s="5">
        <v>2278</v>
      </c>
      <c r="B2279" s="6" t="s">
        <v>9</v>
      </c>
      <c r="C2279" s="7">
        <v>1882</v>
      </c>
      <c r="D2279" s="8">
        <v>45388</v>
      </c>
      <c r="E2279" s="9" t="str">
        <f>+HYPERLINK("http://trademark.i-assist.jp/data/china/image_1882th/76324350.pdf","76324350")</f>
        <v>76324350</v>
      </c>
      <c r="F2279" s="6" t="s">
        <v>6256</v>
      </c>
      <c r="G2279" s="6" t="s">
        <v>6257</v>
      </c>
      <c r="H2279" s="8" t="s">
        <v>6258</v>
      </c>
      <c r="I2279" s="14">
        <v>45302</v>
      </c>
    </row>
    <row r="2280" spans="1:9" x14ac:dyDescent="0.15">
      <c r="A2280" s="5">
        <v>2279</v>
      </c>
      <c r="B2280" s="6" t="s">
        <v>9</v>
      </c>
      <c r="C2280" s="7">
        <v>1882</v>
      </c>
      <c r="D2280" s="8">
        <v>45388</v>
      </c>
      <c r="E2280" s="9" t="str">
        <f>+HYPERLINK("http://trademark.i-assist.jp/data/china/image_1882th/76324502.pdf","76324502")</f>
        <v>76324502</v>
      </c>
      <c r="F2280" s="6" t="s">
        <v>6259</v>
      </c>
      <c r="G2280" s="6" t="s">
        <v>6260</v>
      </c>
      <c r="H2280" s="8" t="s">
        <v>6261</v>
      </c>
      <c r="I2280" s="14">
        <v>45302</v>
      </c>
    </row>
    <row r="2281" spans="1:9" x14ac:dyDescent="0.15">
      <c r="A2281" s="5">
        <v>2280</v>
      </c>
      <c r="B2281" s="6" t="s">
        <v>9</v>
      </c>
      <c r="C2281" s="7">
        <v>1882</v>
      </c>
      <c r="D2281" s="8">
        <v>45388</v>
      </c>
      <c r="E2281" s="9" t="str">
        <f>+HYPERLINK("http://trademark.i-assist.jp/data/china/image_1882th/76324591.pdf","76324591")</f>
        <v>76324591</v>
      </c>
      <c r="F2281" s="6" t="s">
        <v>6262</v>
      </c>
      <c r="G2281" s="6" t="s">
        <v>6263</v>
      </c>
      <c r="H2281" s="8" t="s">
        <v>6264</v>
      </c>
      <c r="I2281" s="14">
        <v>45302</v>
      </c>
    </row>
    <row r="2282" spans="1:9" x14ac:dyDescent="0.15">
      <c r="A2282" s="5">
        <v>2281</v>
      </c>
      <c r="B2282" s="6" t="s">
        <v>9</v>
      </c>
      <c r="C2282" s="7">
        <v>1882</v>
      </c>
      <c r="D2282" s="8">
        <v>45388</v>
      </c>
      <c r="E2282" s="9" t="str">
        <f>+HYPERLINK("http://trademark.i-assist.jp/data/china/image_1882th/76324606.pdf","76324606")</f>
        <v>76324606</v>
      </c>
      <c r="F2282" s="6" t="s">
        <v>6265</v>
      </c>
      <c r="G2282" s="6" t="s">
        <v>4681</v>
      </c>
      <c r="H2282" s="8" t="s">
        <v>6266</v>
      </c>
      <c r="I2282" s="14">
        <v>45302</v>
      </c>
    </row>
    <row r="2283" spans="1:9" x14ac:dyDescent="0.15">
      <c r="A2283" s="5">
        <v>2282</v>
      </c>
      <c r="B2283" s="6" t="s">
        <v>9</v>
      </c>
      <c r="C2283" s="7">
        <v>1882</v>
      </c>
      <c r="D2283" s="8">
        <v>45388</v>
      </c>
      <c r="E2283" s="9" t="str">
        <f>+HYPERLINK("http://trademark.i-assist.jp/data/china/image_1882th/76324608.pdf","76324608")</f>
        <v>76324608</v>
      </c>
      <c r="F2283" s="6" t="s">
        <v>6267</v>
      </c>
      <c r="G2283" s="6" t="s">
        <v>6268</v>
      </c>
      <c r="H2283" s="8" t="s">
        <v>6269</v>
      </c>
      <c r="I2283" s="14">
        <v>45302</v>
      </c>
    </row>
    <row r="2284" spans="1:9" x14ac:dyDescent="0.15">
      <c r="A2284" s="5">
        <v>2283</v>
      </c>
      <c r="B2284" s="6" t="s">
        <v>9</v>
      </c>
      <c r="C2284" s="7">
        <v>1882</v>
      </c>
      <c r="D2284" s="8">
        <v>45388</v>
      </c>
      <c r="E2284" s="9" t="str">
        <f>+HYPERLINK("http://trademark.i-assist.jp/data/china/image_1882th/76324729.pdf","76324729")</f>
        <v>76324729</v>
      </c>
      <c r="F2284" s="6" t="s">
        <v>6270</v>
      </c>
      <c r="G2284" s="6" t="s">
        <v>6271</v>
      </c>
      <c r="H2284" s="8" t="s">
        <v>6272</v>
      </c>
      <c r="I2284" s="14">
        <v>45302</v>
      </c>
    </row>
    <row r="2285" spans="1:9" x14ac:dyDescent="0.15">
      <c r="A2285" s="5">
        <v>2284</v>
      </c>
      <c r="B2285" s="6" t="s">
        <v>9</v>
      </c>
      <c r="C2285" s="7">
        <v>1882</v>
      </c>
      <c r="D2285" s="8">
        <v>45388</v>
      </c>
      <c r="E2285" s="9" t="str">
        <f>+HYPERLINK("http://trademark.i-assist.jp/data/china/image_1882th/76324827.pdf","76324827")</f>
        <v>76324827</v>
      </c>
      <c r="F2285" s="6" t="s">
        <v>6273</v>
      </c>
      <c r="G2285" s="6" t="s">
        <v>6274</v>
      </c>
      <c r="H2285" s="8" t="s">
        <v>6275</v>
      </c>
      <c r="I2285" s="14">
        <v>45302</v>
      </c>
    </row>
    <row r="2286" spans="1:9" x14ac:dyDescent="0.15">
      <c r="A2286" s="5">
        <v>2285</v>
      </c>
      <c r="B2286" s="6" t="s">
        <v>9</v>
      </c>
      <c r="C2286" s="7">
        <v>1882</v>
      </c>
      <c r="D2286" s="8">
        <v>45388</v>
      </c>
      <c r="E2286" s="9" t="str">
        <f>+HYPERLINK("http://trademark.i-assist.jp/data/china/image_1882th/76324949.pdf","76324949")</f>
        <v>76324949</v>
      </c>
      <c r="F2286" s="6" t="s">
        <v>6276</v>
      </c>
      <c r="G2286" s="6" t="s">
        <v>6277</v>
      </c>
      <c r="H2286" s="8" t="s">
        <v>6278</v>
      </c>
      <c r="I2286" s="14">
        <v>45302</v>
      </c>
    </row>
    <row r="2287" spans="1:9" x14ac:dyDescent="0.15">
      <c r="A2287" s="5">
        <v>2286</v>
      </c>
      <c r="B2287" s="6" t="s">
        <v>9</v>
      </c>
      <c r="C2287" s="7">
        <v>1882</v>
      </c>
      <c r="D2287" s="8">
        <v>45388</v>
      </c>
      <c r="E2287" s="9" t="str">
        <f>+HYPERLINK("http://trademark.i-assist.jp/data/china/image_1882th/76325233.pdf","76325233")</f>
        <v>76325233</v>
      </c>
      <c r="F2287" s="6" t="s">
        <v>6279</v>
      </c>
      <c r="G2287" s="6" t="s">
        <v>6280</v>
      </c>
      <c r="H2287" s="8" t="s">
        <v>6281</v>
      </c>
      <c r="I2287" s="14">
        <v>45302</v>
      </c>
    </row>
    <row r="2288" spans="1:9" x14ac:dyDescent="0.15">
      <c r="A2288" s="5">
        <v>2287</v>
      </c>
      <c r="B2288" s="6" t="s">
        <v>9</v>
      </c>
      <c r="C2288" s="7">
        <v>1882</v>
      </c>
      <c r="D2288" s="8">
        <v>45388</v>
      </c>
      <c r="E2288" s="9" t="str">
        <f>+HYPERLINK("http://trademark.i-assist.jp/data/china/image_1882th/76325254.pdf","76325254")</f>
        <v>76325254</v>
      </c>
      <c r="F2288" s="6" t="s">
        <v>6282</v>
      </c>
      <c r="G2288" s="6" t="s">
        <v>6280</v>
      </c>
      <c r="H2288" s="8" t="s">
        <v>6283</v>
      </c>
      <c r="I2288" s="14">
        <v>45302</v>
      </c>
    </row>
    <row r="2289" spans="1:9" x14ac:dyDescent="0.15">
      <c r="A2289" s="5">
        <v>2288</v>
      </c>
      <c r="B2289" s="6" t="s">
        <v>9</v>
      </c>
      <c r="C2289" s="7">
        <v>1882</v>
      </c>
      <c r="D2289" s="8">
        <v>45388</v>
      </c>
      <c r="E2289" s="9" t="str">
        <f>+HYPERLINK("http://trademark.i-assist.jp/data/china/image_1882th/76325318.pdf","76325318")</f>
        <v>76325318</v>
      </c>
      <c r="F2289" s="6" t="s">
        <v>6284</v>
      </c>
      <c r="G2289" s="6" t="s">
        <v>6285</v>
      </c>
      <c r="H2289" s="8" t="s">
        <v>6286</v>
      </c>
      <c r="I2289" s="14">
        <v>45302</v>
      </c>
    </row>
    <row r="2290" spans="1:9" x14ac:dyDescent="0.15">
      <c r="A2290" s="5">
        <v>2289</v>
      </c>
      <c r="B2290" s="6" t="s">
        <v>9</v>
      </c>
      <c r="C2290" s="7">
        <v>1882</v>
      </c>
      <c r="D2290" s="8">
        <v>45388</v>
      </c>
      <c r="E2290" s="9" t="str">
        <f>+HYPERLINK("http://trademark.i-assist.jp/data/china/image_1882th/76325329.pdf","76325329")</f>
        <v>76325329</v>
      </c>
      <c r="F2290" s="6" t="s">
        <v>6287</v>
      </c>
      <c r="G2290" s="6" t="s">
        <v>6288</v>
      </c>
      <c r="H2290" s="8" t="s">
        <v>6289</v>
      </c>
      <c r="I2290" s="14">
        <v>45302</v>
      </c>
    </row>
    <row r="2291" spans="1:9" x14ac:dyDescent="0.15">
      <c r="A2291" s="5">
        <v>2290</v>
      </c>
      <c r="B2291" s="6" t="s">
        <v>9</v>
      </c>
      <c r="C2291" s="7">
        <v>1882</v>
      </c>
      <c r="D2291" s="8">
        <v>45388</v>
      </c>
      <c r="E2291" s="9" t="str">
        <f>+HYPERLINK("http://trademark.i-assist.jp/data/china/image_1882th/76325369.pdf","76325369")</f>
        <v>76325369</v>
      </c>
      <c r="F2291" s="6" t="s">
        <v>6290</v>
      </c>
      <c r="G2291" s="6" t="s">
        <v>5610</v>
      </c>
      <c r="H2291" s="8" t="s">
        <v>6291</v>
      </c>
      <c r="I2291" s="14">
        <v>45302</v>
      </c>
    </row>
    <row r="2292" spans="1:9" x14ac:dyDescent="0.15">
      <c r="A2292" s="5">
        <v>2291</v>
      </c>
      <c r="B2292" s="6" t="s">
        <v>9</v>
      </c>
      <c r="C2292" s="7">
        <v>1882</v>
      </c>
      <c r="D2292" s="8">
        <v>45388</v>
      </c>
      <c r="E2292" s="9" t="str">
        <f>+HYPERLINK("http://trademark.i-assist.jp/data/china/image_1882th/76325386.pdf","76325386")</f>
        <v>76325386</v>
      </c>
      <c r="F2292" s="6" t="s">
        <v>6292</v>
      </c>
      <c r="G2292" s="6" t="s">
        <v>6293</v>
      </c>
      <c r="H2292" s="8" t="s">
        <v>6294</v>
      </c>
      <c r="I2292" s="14">
        <v>45302</v>
      </c>
    </row>
    <row r="2293" spans="1:9" x14ac:dyDescent="0.15">
      <c r="A2293" s="5">
        <v>2292</v>
      </c>
      <c r="B2293" s="6" t="s">
        <v>9</v>
      </c>
      <c r="C2293" s="7">
        <v>1882</v>
      </c>
      <c r="D2293" s="8">
        <v>45388</v>
      </c>
      <c r="E2293" s="9" t="str">
        <f>+HYPERLINK("http://trademark.i-assist.jp/data/china/image_1882th/76325469.pdf","76325469")</f>
        <v>76325469</v>
      </c>
      <c r="F2293" s="6" t="s">
        <v>6295</v>
      </c>
      <c r="G2293" s="6" t="s">
        <v>6296</v>
      </c>
      <c r="H2293" s="8" t="s">
        <v>6297</v>
      </c>
      <c r="I2293" s="14">
        <v>45302</v>
      </c>
    </row>
    <row r="2294" spans="1:9" x14ac:dyDescent="0.15">
      <c r="A2294" s="5">
        <v>2293</v>
      </c>
      <c r="B2294" s="6" t="s">
        <v>9</v>
      </c>
      <c r="C2294" s="7">
        <v>1882</v>
      </c>
      <c r="D2294" s="8">
        <v>45388</v>
      </c>
      <c r="E2294" s="9" t="str">
        <f>+HYPERLINK("http://trademark.i-assist.jp/data/china/image_1882th/76325564.pdf","76325564")</f>
        <v>76325564</v>
      </c>
      <c r="F2294" s="6" t="s">
        <v>6298</v>
      </c>
      <c r="G2294" s="6" t="s">
        <v>6299</v>
      </c>
      <c r="H2294" s="8" t="s">
        <v>6300</v>
      </c>
      <c r="I2294" s="14">
        <v>45302</v>
      </c>
    </row>
    <row r="2295" spans="1:9" x14ac:dyDescent="0.15">
      <c r="A2295" s="5">
        <v>2294</v>
      </c>
      <c r="B2295" s="6" t="s">
        <v>9</v>
      </c>
      <c r="C2295" s="7">
        <v>1882</v>
      </c>
      <c r="D2295" s="8">
        <v>45388</v>
      </c>
      <c r="E2295" s="9" t="str">
        <f>+HYPERLINK("http://trademark.i-assist.jp/data/china/image_1882th/76325605.pdf","76325605")</f>
        <v>76325605</v>
      </c>
      <c r="F2295" s="6" t="s">
        <v>26</v>
      </c>
      <c r="G2295" s="6" t="s">
        <v>6301</v>
      </c>
      <c r="H2295" s="8" t="s">
        <v>6302</v>
      </c>
      <c r="I2295" s="14">
        <v>45302</v>
      </c>
    </row>
    <row r="2296" spans="1:9" x14ac:dyDescent="0.15">
      <c r="A2296" s="5">
        <v>2295</v>
      </c>
      <c r="B2296" s="6" t="s">
        <v>9</v>
      </c>
      <c r="C2296" s="7">
        <v>1882</v>
      </c>
      <c r="D2296" s="8">
        <v>45388</v>
      </c>
      <c r="E2296" s="9" t="str">
        <f>+HYPERLINK("http://trademark.i-assist.jp/data/china/image_1882th/76325674.pdf","76325674")</f>
        <v>76325674</v>
      </c>
      <c r="F2296" s="6" t="s">
        <v>6303</v>
      </c>
      <c r="G2296" s="6" t="s">
        <v>6304</v>
      </c>
      <c r="H2296" s="8" t="s">
        <v>6305</v>
      </c>
      <c r="I2296" s="14">
        <v>45302</v>
      </c>
    </row>
    <row r="2297" spans="1:9" x14ac:dyDescent="0.15">
      <c r="A2297" s="5">
        <v>2296</v>
      </c>
      <c r="B2297" s="6" t="s">
        <v>9</v>
      </c>
      <c r="C2297" s="7">
        <v>1882</v>
      </c>
      <c r="D2297" s="8">
        <v>45388</v>
      </c>
      <c r="E2297" s="9" t="str">
        <f>+HYPERLINK("http://trademark.i-assist.jp/data/china/image_1882th/76325728.pdf","76325728")</f>
        <v>76325728</v>
      </c>
      <c r="F2297" s="6" t="s">
        <v>6306</v>
      </c>
      <c r="G2297" s="6" t="s">
        <v>6307</v>
      </c>
      <c r="H2297" s="8" t="s">
        <v>6308</v>
      </c>
      <c r="I2297" s="14">
        <v>45302</v>
      </c>
    </row>
    <row r="2298" spans="1:9" x14ac:dyDescent="0.15">
      <c r="A2298" s="5">
        <v>2297</v>
      </c>
      <c r="B2298" s="6" t="s">
        <v>9</v>
      </c>
      <c r="C2298" s="7">
        <v>1882</v>
      </c>
      <c r="D2298" s="8">
        <v>45388</v>
      </c>
      <c r="E2298" s="9" t="str">
        <f>+HYPERLINK("http://trademark.i-assist.jp/data/china/image_1882th/76325849.pdf","76325849")</f>
        <v>76325849</v>
      </c>
      <c r="F2298" s="6" t="s">
        <v>6309</v>
      </c>
      <c r="G2298" s="6" t="s">
        <v>6224</v>
      </c>
      <c r="H2298" s="8" t="s">
        <v>6310</v>
      </c>
      <c r="I2298" s="14">
        <v>45302</v>
      </c>
    </row>
    <row r="2299" spans="1:9" x14ac:dyDescent="0.15">
      <c r="A2299" s="5">
        <v>2298</v>
      </c>
      <c r="B2299" s="6" t="s">
        <v>9</v>
      </c>
      <c r="C2299" s="7">
        <v>1882</v>
      </c>
      <c r="D2299" s="8">
        <v>45388</v>
      </c>
      <c r="E2299" s="9" t="str">
        <f>+HYPERLINK("http://trademark.i-assist.jp/data/china/image_1882th/76325917.pdf","76325917")</f>
        <v>76325917</v>
      </c>
      <c r="F2299" s="6" t="s">
        <v>6311</v>
      </c>
      <c r="G2299" s="6" t="s">
        <v>6312</v>
      </c>
      <c r="H2299" s="8" t="s">
        <v>6313</v>
      </c>
      <c r="I2299" s="14">
        <v>45302</v>
      </c>
    </row>
    <row r="2300" spans="1:9" x14ac:dyDescent="0.15">
      <c r="A2300" s="5">
        <v>2299</v>
      </c>
      <c r="B2300" s="6" t="s">
        <v>9</v>
      </c>
      <c r="C2300" s="7">
        <v>1882</v>
      </c>
      <c r="D2300" s="8">
        <v>45388</v>
      </c>
      <c r="E2300" s="9" t="str">
        <f>+HYPERLINK("http://trademark.i-assist.jp/data/china/image_1882th/76325953.pdf","76325953")</f>
        <v>76325953</v>
      </c>
      <c r="F2300" s="6" t="s">
        <v>6314</v>
      </c>
      <c r="G2300" s="6" t="s">
        <v>6315</v>
      </c>
      <c r="H2300" s="8" t="s">
        <v>6316</v>
      </c>
      <c r="I2300" s="14">
        <v>45302</v>
      </c>
    </row>
    <row r="2301" spans="1:9" x14ac:dyDescent="0.15">
      <c r="A2301" s="5">
        <v>2300</v>
      </c>
      <c r="B2301" s="6" t="s">
        <v>9</v>
      </c>
      <c r="C2301" s="7">
        <v>1882</v>
      </c>
      <c r="D2301" s="8">
        <v>45388</v>
      </c>
      <c r="E2301" s="9" t="str">
        <f>+HYPERLINK("http://trademark.i-assist.jp/data/china/image_1882th/76326035.pdf","76326035")</f>
        <v>76326035</v>
      </c>
      <c r="F2301" s="6" t="s">
        <v>6317</v>
      </c>
      <c r="G2301" s="6" t="s">
        <v>6318</v>
      </c>
      <c r="H2301" s="8" t="s">
        <v>6319</v>
      </c>
      <c r="I2301" s="14">
        <v>45302</v>
      </c>
    </row>
    <row r="2302" spans="1:9" x14ac:dyDescent="0.15">
      <c r="A2302" s="5">
        <v>2301</v>
      </c>
      <c r="B2302" s="6" t="s">
        <v>9</v>
      </c>
      <c r="C2302" s="7">
        <v>1882</v>
      </c>
      <c r="D2302" s="8">
        <v>45388</v>
      </c>
      <c r="E2302" s="9" t="str">
        <f>+HYPERLINK("http://trademark.i-assist.jp/data/china/image_1882th/76326059.pdf","76326059")</f>
        <v>76326059</v>
      </c>
      <c r="F2302" s="6" t="s">
        <v>6320</v>
      </c>
      <c r="G2302" s="6" t="s">
        <v>6224</v>
      </c>
      <c r="H2302" s="8" t="s">
        <v>6321</v>
      </c>
      <c r="I2302" s="14">
        <v>45302</v>
      </c>
    </row>
    <row r="2303" spans="1:9" x14ac:dyDescent="0.15">
      <c r="A2303" s="5">
        <v>2302</v>
      </c>
      <c r="B2303" s="6" t="s">
        <v>9</v>
      </c>
      <c r="C2303" s="7">
        <v>1882</v>
      </c>
      <c r="D2303" s="8">
        <v>45388</v>
      </c>
      <c r="E2303" s="9" t="str">
        <f>+HYPERLINK("http://trademark.i-assist.jp/data/china/image_1882th/76326082.pdf","76326082")</f>
        <v>76326082</v>
      </c>
      <c r="F2303" s="6" t="s">
        <v>6322</v>
      </c>
      <c r="G2303" s="6" t="s">
        <v>6224</v>
      </c>
      <c r="H2303" s="8" t="s">
        <v>6323</v>
      </c>
      <c r="I2303" s="14">
        <v>45302</v>
      </c>
    </row>
    <row r="2304" spans="1:9" x14ac:dyDescent="0.15">
      <c r="A2304" s="5">
        <v>2303</v>
      </c>
      <c r="B2304" s="6" t="s">
        <v>9</v>
      </c>
      <c r="C2304" s="7">
        <v>1882</v>
      </c>
      <c r="D2304" s="8">
        <v>45388</v>
      </c>
      <c r="E2304" s="9" t="str">
        <f>+HYPERLINK("http://trademark.i-assist.jp/data/china/image_1882th/76326322.pdf","76326322")</f>
        <v>76326322</v>
      </c>
      <c r="F2304" s="6" t="s">
        <v>6324</v>
      </c>
      <c r="G2304" s="6" t="s">
        <v>6241</v>
      </c>
      <c r="H2304" s="8" t="s">
        <v>6325</v>
      </c>
      <c r="I2304" s="14">
        <v>45302</v>
      </c>
    </row>
    <row r="2305" spans="1:9" x14ac:dyDescent="0.15">
      <c r="A2305" s="5">
        <v>2304</v>
      </c>
      <c r="B2305" s="6" t="s">
        <v>9</v>
      </c>
      <c r="C2305" s="7">
        <v>1882</v>
      </c>
      <c r="D2305" s="8">
        <v>45388</v>
      </c>
      <c r="E2305" s="9" t="str">
        <f>+HYPERLINK("http://trademark.i-assist.jp/data/china/image_1882th/76326391.pdf","76326391")</f>
        <v>76326391</v>
      </c>
      <c r="F2305" s="6" t="s">
        <v>6326</v>
      </c>
      <c r="G2305" s="6" t="s">
        <v>3312</v>
      </c>
      <c r="H2305" s="8" t="s">
        <v>6327</v>
      </c>
      <c r="I2305" s="14">
        <v>45302</v>
      </c>
    </row>
    <row r="2306" spans="1:9" x14ac:dyDescent="0.15">
      <c r="A2306" s="5">
        <v>2305</v>
      </c>
      <c r="B2306" s="6" t="s">
        <v>9</v>
      </c>
      <c r="C2306" s="7">
        <v>1882</v>
      </c>
      <c r="D2306" s="8">
        <v>45388</v>
      </c>
      <c r="E2306" s="9" t="str">
        <f>+HYPERLINK("http://trademark.i-assist.jp/data/china/image_1882th/76326431.pdf","76326431")</f>
        <v>76326431</v>
      </c>
      <c r="F2306" s="6" t="s">
        <v>6328</v>
      </c>
      <c r="G2306" s="6" t="s">
        <v>6329</v>
      </c>
      <c r="H2306" s="8" t="s">
        <v>6330</v>
      </c>
      <c r="I2306" s="14">
        <v>45302</v>
      </c>
    </row>
    <row r="2307" spans="1:9" x14ac:dyDescent="0.15">
      <c r="A2307" s="5">
        <v>2306</v>
      </c>
      <c r="B2307" s="6" t="s">
        <v>9</v>
      </c>
      <c r="C2307" s="7">
        <v>1882</v>
      </c>
      <c r="D2307" s="8">
        <v>45388</v>
      </c>
      <c r="E2307" s="9" t="str">
        <f>+HYPERLINK("http://trademark.i-assist.jp/data/china/image_1882th/76326511.pdf","76326511")</f>
        <v>76326511</v>
      </c>
      <c r="F2307" s="6" t="s">
        <v>6331</v>
      </c>
      <c r="G2307" s="6" t="s">
        <v>6332</v>
      </c>
      <c r="H2307" s="8" t="s">
        <v>6333</v>
      </c>
      <c r="I2307" s="14">
        <v>45302</v>
      </c>
    </row>
    <row r="2308" spans="1:9" x14ac:dyDescent="0.15">
      <c r="A2308" s="5">
        <v>2307</v>
      </c>
      <c r="B2308" s="6" t="s">
        <v>9</v>
      </c>
      <c r="C2308" s="7">
        <v>1882</v>
      </c>
      <c r="D2308" s="8">
        <v>45388</v>
      </c>
      <c r="E2308" s="9" t="str">
        <f>+HYPERLINK("http://trademark.i-assist.jp/data/china/image_1882th/76326589.pdf","76326589")</f>
        <v>76326589</v>
      </c>
      <c r="F2308" s="6" t="s">
        <v>6334</v>
      </c>
      <c r="G2308" s="6" t="s">
        <v>6335</v>
      </c>
      <c r="H2308" s="8" t="s">
        <v>6336</v>
      </c>
      <c r="I2308" s="14">
        <v>45302</v>
      </c>
    </row>
    <row r="2309" spans="1:9" x14ac:dyDescent="0.15">
      <c r="A2309" s="5">
        <v>2308</v>
      </c>
      <c r="B2309" s="6" t="s">
        <v>9</v>
      </c>
      <c r="C2309" s="7">
        <v>1882</v>
      </c>
      <c r="D2309" s="8">
        <v>45388</v>
      </c>
      <c r="E2309" s="9" t="str">
        <f>+HYPERLINK("http://trademark.i-assist.jp/data/china/image_1882th/76326598.pdf","76326598")</f>
        <v>76326598</v>
      </c>
      <c r="F2309" s="6" t="s">
        <v>6337</v>
      </c>
      <c r="G2309" s="6" t="s">
        <v>6338</v>
      </c>
      <c r="H2309" s="8" t="s">
        <v>6339</v>
      </c>
      <c r="I2309" s="14">
        <v>45302</v>
      </c>
    </row>
    <row r="2310" spans="1:9" x14ac:dyDescent="0.15">
      <c r="A2310" s="5">
        <v>2309</v>
      </c>
      <c r="B2310" s="6" t="s">
        <v>9</v>
      </c>
      <c r="C2310" s="7">
        <v>1882</v>
      </c>
      <c r="D2310" s="8">
        <v>45388</v>
      </c>
      <c r="E2310" s="9" t="str">
        <f>+HYPERLINK("http://trademark.i-assist.jp/data/china/image_1882th/76326619.pdf","76326619")</f>
        <v>76326619</v>
      </c>
      <c r="F2310" s="6" t="s">
        <v>6340</v>
      </c>
      <c r="G2310" s="6" t="s">
        <v>6341</v>
      </c>
      <c r="H2310" s="8" t="s">
        <v>6342</v>
      </c>
      <c r="I2310" s="14">
        <v>45302</v>
      </c>
    </row>
    <row r="2311" spans="1:9" x14ac:dyDescent="0.15">
      <c r="A2311" s="5">
        <v>2310</v>
      </c>
      <c r="B2311" s="6" t="s">
        <v>9</v>
      </c>
      <c r="C2311" s="7">
        <v>1882</v>
      </c>
      <c r="D2311" s="8">
        <v>45388</v>
      </c>
      <c r="E2311" s="9" t="str">
        <f>+HYPERLINK("http://trademark.i-assist.jp/data/china/image_1882th/76326744.pdf","76326744")</f>
        <v>76326744</v>
      </c>
      <c r="F2311" s="6" t="s">
        <v>6343</v>
      </c>
      <c r="G2311" s="6" t="s">
        <v>6344</v>
      </c>
      <c r="H2311" s="8" t="s">
        <v>6345</v>
      </c>
      <c r="I2311" s="14">
        <v>45302</v>
      </c>
    </row>
    <row r="2312" spans="1:9" x14ac:dyDescent="0.15">
      <c r="A2312" s="5">
        <v>2311</v>
      </c>
      <c r="B2312" s="6" t="s">
        <v>9</v>
      </c>
      <c r="C2312" s="7">
        <v>1882</v>
      </c>
      <c r="D2312" s="8">
        <v>45388</v>
      </c>
      <c r="E2312" s="9" t="str">
        <f>+HYPERLINK("http://trademark.i-assist.jp/data/china/image_1882th/76326943.pdf","76326943")</f>
        <v>76326943</v>
      </c>
      <c r="F2312" s="6" t="s">
        <v>6346</v>
      </c>
      <c r="G2312" s="6" t="s">
        <v>6347</v>
      </c>
      <c r="H2312" s="8" t="s">
        <v>6348</v>
      </c>
      <c r="I2312" s="14">
        <v>45302</v>
      </c>
    </row>
    <row r="2313" spans="1:9" x14ac:dyDescent="0.15">
      <c r="A2313" s="5">
        <v>2312</v>
      </c>
      <c r="B2313" s="6" t="s">
        <v>9</v>
      </c>
      <c r="C2313" s="7">
        <v>1882</v>
      </c>
      <c r="D2313" s="8">
        <v>45388</v>
      </c>
      <c r="E2313" s="9" t="str">
        <f>+HYPERLINK("http://trademark.i-assist.jp/data/china/image_1882th/76326959.pdf","76326959")</f>
        <v>76326959</v>
      </c>
      <c r="F2313" s="6" t="s">
        <v>6349</v>
      </c>
      <c r="G2313" s="6" t="s">
        <v>6350</v>
      </c>
      <c r="H2313" s="8" t="s">
        <v>6351</v>
      </c>
      <c r="I2313" s="14">
        <v>45302</v>
      </c>
    </row>
    <row r="2314" spans="1:9" x14ac:dyDescent="0.15">
      <c r="A2314" s="5">
        <v>2313</v>
      </c>
      <c r="B2314" s="6" t="s">
        <v>9</v>
      </c>
      <c r="C2314" s="7">
        <v>1882</v>
      </c>
      <c r="D2314" s="8">
        <v>45388</v>
      </c>
      <c r="E2314" s="9" t="str">
        <f>+HYPERLINK("http://trademark.i-assist.jp/data/china/image_1882th/76327062.pdf","76327062")</f>
        <v>76327062</v>
      </c>
      <c r="F2314" s="6" t="s">
        <v>6352</v>
      </c>
      <c r="G2314" s="6" t="s">
        <v>6353</v>
      </c>
      <c r="H2314" s="8" t="s">
        <v>6354</v>
      </c>
      <c r="I2314" s="14">
        <v>45302</v>
      </c>
    </row>
    <row r="2315" spans="1:9" x14ac:dyDescent="0.15">
      <c r="A2315" s="5">
        <v>2314</v>
      </c>
      <c r="B2315" s="6" t="s">
        <v>9</v>
      </c>
      <c r="C2315" s="7">
        <v>1882</v>
      </c>
      <c r="D2315" s="8">
        <v>45388</v>
      </c>
      <c r="E2315" s="9" t="str">
        <f>+HYPERLINK("http://trademark.i-assist.jp/data/china/image_1882th/76327182.pdf","76327182")</f>
        <v>76327182</v>
      </c>
      <c r="F2315" s="6" t="s">
        <v>6355</v>
      </c>
      <c r="G2315" s="6" t="s">
        <v>5660</v>
      </c>
      <c r="H2315" s="8" t="s">
        <v>6356</v>
      </c>
      <c r="I2315" s="14">
        <v>45302</v>
      </c>
    </row>
    <row r="2316" spans="1:9" x14ac:dyDescent="0.15">
      <c r="A2316" s="5">
        <v>2315</v>
      </c>
      <c r="B2316" s="6" t="s">
        <v>9</v>
      </c>
      <c r="C2316" s="7">
        <v>1882</v>
      </c>
      <c r="D2316" s="8">
        <v>45388</v>
      </c>
      <c r="E2316" s="9" t="str">
        <f>+HYPERLINK("http://trademark.i-assist.jp/data/china/image_1882th/76327227.pdf","76327227")</f>
        <v>76327227</v>
      </c>
      <c r="F2316" s="6" t="s">
        <v>6357</v>
      </c>
      <c r="G2316" s="6" t="s">
        <v>6358</v>
      </c>
      <c r="H2316" s="8" t="s">
        <v>6359</v>
      </c>
      <c r="I2316" s="14">
        <v>45302</v>
      </c>
    </row>
    <row r="2317" spans="1:9" x14ac:dyDescent="0.15">
      <c r="A2317" s="5">
        <v>2316</v>
      </c>
      <c r="B2317" s="6" t="s">
        <v>9</v>
      </c>
      <c r="C2317" s="7">
        <v>1882</v>
      </c>
      <c r="D2317" s="8">
        <v>45388</v>
      </c>
      <c r="E2317" s="9" t="str">
        <f>+HYPERLINK("http://trademark.i-assist.jp/data/china/image_1882th/76327325.pdf","76327325")</f>
        <v>76327325</v>
      </c>
      <c r="F2317" s="6" t="s">
        <v>6360</v>
      </c>
      <c r="G2317" s="6" t="s">
        <v>6361</v>
      </c>
      <c r="H2317" s="8" t="s">
        <v>6362</v>
      </c>
      <c r="I2317" s="14">
        <v>45302</v>
      </c>
    </row>
    <row r="2318" spans="1:9" x14ac:dyDescent="0.15">
      <c r="A2318" s="5">
        <v>2317</v>
      </c>
      <c r="B2318" s="6" t="s">
        <v>9</v>
      </c>
      <c r="C2318" s="7">
        <v>1882</v>
      </c>
      <c r="D2318" s="8">
        <v>45388</v>
      </c>
      <c r="E2318" s="9" t="str">
        <f>+HYPERLINK("http://trademark.i-assist.jp/data/china/image_1882th/76327410.pdf","76327410")</f>
        <v>76327410</v>
      </c>
      <c r="F2318" s="6" t="s">
        <v>6363</v>
      </c>
      <c r="G2318" s="6" t="s">
        <v>6364</v>
      </c>
      <c r="H2318" s="8" t="s">
        <v>6365</v>
      </c>
      <c r="I2318" s="14">
        <v>45302</v>
      </c>
    </row>
    <row r="2319" spans="1:9" x14ac:dyDescent="0.15">
      <c r="A2319" s="5">
        <v>2318</v>
      </c>
      <c r="B2319" s="6" t="s">
        <v>9</v>
      </c>
      <c r="C2319" s="7">
        <v>1882</v>
      </c>
      <c r="D2319" s="8">
        <v>45388</v>
      </c>
      <c r="E2319" s="9" t="str">
        <f>+HYPERLINK("http://trademark.i-assist.jp/data/china/image_1882th/76327755.pdf","76327755")</f>
        <v>76327755</v>
      </c>
      <c r="F2319" s="6" t="s">
        <v>6366</v>
      </c>
      <c r="G2319" s="6" t="s">
        <v>6367</v>
      </c>
      <c r="H2319" s="8" t="s">
        <v>6368</v>
      </c>
      <c r="I2319" s="14">
        <v>45302</v>
      </c>
    </row>
    <row r="2320" spans="1:9" x14ac:dyDescent="0.15">
      <c r="A2320" s="5">
        <v>2319</v>
      </c>
      <c r="B2320" s="6" t="s">
        <v>9</v>
      </c>
      <c r="C2320" s="7">
        <v>1882</v>
      </c>
      <c r="D2320" s="8">
        <v>45388</v>
      </c>
      <c r="E2320" s="9" t="str">
        <f>+HYPERLINK("http://trademark.i-assist.jp/data/china/image_1882th/76327974.pdf","76327974")</f>
        <v>76327974</v>
      </c>
      <c r="F2320" s="6" t="s">
        <v>6369</v>
      </c>
      <c r="G2320" s="6" t="s">
        <v>6370</v>
      </c>
      <c r="H2320" s="8" t="s">
        <v>6371</v>
      </c>
      <c r="I2320" s="14">
        <v>45302</v>
      </c>
    </row>
    <row r="2321" spans="1:9" x14ac:dyDescent="0.15">
      <c r="A2321" s="5">
        <v>2320</v>
      </c>
      <c r="B2321" s="6" t="s">
        <v>9</v>
      </c>
      <c r="C2321" s="7">
        <v>1882</v>
      </c>
      <c r="D2321" s="8">
        <v>45388</v>
      </c>
      <c r="E2321" s="9" t="str">
        <f>+HYPERLINK("http://trademark.i-assist.jp/data/china/image_1882th/76328039.pdf","76328039")</f>
        <v>76328039</v>
      </c>
      <c r="F2321" s="6" t="s">
        <v>6372</v>
      </c>
      <c r="G2321" s="6" t="s">
        <v>6373</v>
      </c>
      <c r="H2321" s="8" t="s">
        <v>6374</v>
      </c>
      <c r="I2321" s="14">
        <v>45302</v>
      </c>
    </row>
    <row r="2322" spans="1:9" x14ac:dyDescent="0.15">
      <c r="A2322" s="5">
        <v>2321</v>
      </c>
      <c r="B2322" s="6" t="s">
        <v>9</v>
      </c>
      <c r="C2322" s="7">
        <v>1882</v>
      </c>
      <c r="D2322" s="8">
        <v>45388</v>
      </c>
      <c r="E2322" s="9" t="str">
        <f>+HYPERLINK("http://trademark.i-assist.jp/data/china/image_1882th/76328123.pdf","76328123")</f>
        <v>76328123</v>
      </c>
      <c r="F2322" s="6" t="s">
        <v>6375</v>
      </c>
      <c r="G2322" s="6" t="s">
        <v>6376</v>
      </c>
      <c r="H2322" s="8" t="s">
        <v>6377</v>
      </c>
      <c r="I2322" s="14">
        <v>45302</v>
      </c>
    </row>
    <row r="2323" spans="1:9" x14ac:dyDescent="0.15">
      <c r="A2323" s="5">
        <v>2322</v>
      </c>
      <c r="B2323" s="6" t="s">
        <v>9</v>
      </c>
      <c r="C2323" s="7">
        <v>1882</v>
      </c>
      <c r="D2323" s="8">
        <v>45388</v>
      </c>
      <c r="E2323" s="9" t="str">
        <f>+HYPERLINK("http://trademark.i-assist.jp/data/china/image_1882th/76328262.pdf","76328262")</f>
        <v>76328262</v>
      </c>
      <c r="F2323" s="6" t="s">
        <v>6378</v>
      </c>
      <c r="G2323" s="6" t="s">
        <v>6379</v>
      </c>
      <c r="H2323" s="8" t="s">
        <v>6380</v>
      </c>
      <c r="I2323" s="14">
        <v>45302</v>
      </c>
    </row>
    <row r="2324" spans="1:9" x14ac:dyDescent="0.15">
      <c r="A2324" s="5">
        <v>2323</v>
      </c>
      <c r="B2324" s="6" t="s">
        <v>9</v>
      </c>
      <c r="C2324" s="7">
        <v>1882</v>
      </c>
      <c r="D2324" s="8">
        <v>45388</v>
      </c>
      <c r="E2324" s="9" t="str">
        <f>+HYPERLINK("http://trademark.i-assist.jp/data/china/image_1882th/76328316.pdf","76328316")</f>
        <v>76328316</v>
      </c>
      <c r="F2324" s="6" t="s">
        <v>6381</v>
      </c>
      <c r="G2324" s="6" t="s">
        <v>6382</v>
      </c>
      <c r="H2324" s="8" t="s">
        <v>6383</v>
      </c>
      <c r="I2324" s="14">
        <v>45302</v>
      </c>
    </row>
    <row r="2325" spans="1:9" x14ac:dyDescent="0.15">
      <c r="A2325" s="5">
        <v>2324</v>
      </c>
      <c r="B2325" s="6" t="s">
        <v>9</v>
      </c>
      <c r="C2325" s="7">
        <v>1882</v>
      </c>
      <c r="D2325" s="8">
        <v>45388</v>
      </c>
      <c r="E2325" s="9" t="str">
        <f>+HYPERLINK("http://trademark.i-assist.jp/data/china/image_1882th/76328558.pdf","76328558")</f>
        <v>76328558</v>
      </c>
      <c r="F2325" s="6" t="s">
        <v>6384</v>
      </c>
      <c r="G2325" s="6" t="s">
        <v>6385</v>
      </c>
      <c r="H2325" s="8" t="s">
        <v>6386</v>
      </c>
      <c r="I2325" s="14">
        <v>45302</v>
      </c>
    </row>
    <row r="2326" spans="1:9" x14ac:dyDescent="0.15">
      <c r="A2326" s="5">
        <v>2325</v>
      </c>
      <c r="B2326" s="6" t="s">
        <v>9</v>
      </c>
      <c r="C2326" s="7">
        <v>1882</v>
      </c>
      <c r="D2326" s="8">
        <v>45388</v>
      </c>
      <c r="E2326" s="9" t="str">
        <f>+HYPERLINK("http://trademark.i-assist.jp/data/china/image_1882th/76328594.pdf","76328594")</f>
        <v>76328594</v>
      </c>
      <c r="F2326" s="6" t="s">
        <v>6387</v>
      </c>
      <c r="G2326" s="6" t="s">
        <v>6388</v>
      </c>
      <c r="H2326" s="8" t="s">
        <v>6389</v>
      </c>
      <c r="I2326" s="14">
        <v>45302</v>
      </c>
    </row>
    <row r="2327" spans="1:9" x14ac:dyDescent="0.15">
      <c r="A2327" s="5">
        <v>2326</v>
      </c>
      <c r="B2327" s="6" t="s">
        <v>9</v>
      </c>
      <c r="C2327" s="7">
        <v>1882</v>
      </c>
      <c r="D2327" s="8">
        <v>45388</v>
      </c>
      <c r="E2327" s="9" t="str">
        <f>+HYPERLINK("http://trademark.i-assist.jp/data/china/image_1882th/76328686.pdf","76328686")</f>
        <v>76328686</v>
      </c>
      <c r="F2327" s="6" t="s">
        <v>6390</v>
      </c>
      <c r="G2327" s="6" t="s">
        <v>6391</v>
      </c>
      <c r="H2327" s="8" t="s">
        <v>6392</v>
      </c>
      <c r="I2327" s="14">
        <v>45302</v>
      </c>
    </row>
    <row r="2328" spans="1:9" x14ac:dyDescent="0.15">
      <c r="A2328" s="5">
        <v>2327</v>
      </c>
      <c r="B2328" s="6" t="s">
        <v>9</v>
      </c>
      <c r="C2328" s="7">
        <v>1882</v>
      </c>
      <c r="D2328" s="8">
        <v>45388</v>
      </c>
      <c r="E2328" s="9" t="str">
        <f>+HYPERLINK("http://trademark.i-assist.jp/data/china/image_1882th/76328771.pdf","76328771")</f>
        <v>76328771</v>
      </c>
      <c r="F2328" s="6" t="s">
        <v>6393</v>
      </c>
      <c r="G2328" s="6" t="s">
        <v>6280</v>
      </c>
      <c r="H2328" s="8" t="s">
        <v>6394</v>
      </c>
      <c r="I2328" s="14">
        <v>45302</v>
      </c>
    </row>
    <row r="2329" spans="1:9" x14ac:dyDescent="0.15">
      <c r="A2329" s="5">
        <v>2328</v>
      </c>
      <c r="B2329" s="6" t="s">
        <v>9</v>
      </c>
      <c r="C2329" s="7">
        <v>1882</v>
      </c>
      <c r="D2329" s="8">
        <v>45388</v>
      </c>
      <c r="E2329" s="9" t="str">
        <f>+HYPERLINK("http://trademark.i-assist.jp/data/china/image_1882th/76328841.pdf","76328841")</f>
        <v>76328841</v>
      </c>
      <c r="F2329" s="6" t="s">
        <v>6395</v>
      </c>
      <c r="G2329" s="6" t="s">
        <v>6396</v>
      </c>
      <c r="H2329" s="8" t="s">
        <v>6397</v>
      </c>
      <c r="I2329" s="14">
        <v>45302</v>
      </c>
    </row>
    <row r="2330" spans="1:9" x14ac:dyDescent="0.15">
      <c r="A2330" s="5">
        <v>2329</v>
      </c>
      <c r="B2330" s="6" t="s">
        <v>9</v>
      </c>
      <c r="C2330" s="7">
        <v>1882</v>
      </c>
      <c r="D2330" s="8">
        <v>45388</v>
      </c>
      <c r="E2330" s="9" t="str">
        <f>+HYPERLINK("http://trademark.i-assist.jp/data/china/image_1882th/76328983.pdf","76328983")</f>
        <v>76328983</v>
      </c>
      <c r="F2330" s="6" t="s">
        <v>26</v>
      </c>
      <c r="G2330" s="6" t="s">
        <v>6398</v>
      </c>
      <c r="H2330" s="8" t="s">
        <v>6399</v>
      </c>
      <c r="I2330" s="14">
        <v>45302</v>
      </c>
    </row>
    <row r="2331" spans="1:9" x14ac:dyDescent="0.15">
      <c r="A2331" s="5">
        <v>2330</v>
      </c>
      <c r="B2331" s="6" t="s">
        <v>9</v>
      </c>
      <c r="C2331" s="7">
        <v>1882</v>
      </c>
      <c r="D2331" s="8">
        <v>45388</v>
      </c>
      <c r="E2331" s="9" t="str">
        <f>+HYPERLINK("http://trademark.i-assist.jp/data/china/image_1882th/76329425.pdf","76329425")</f>
        <v>76329425</v>
      </c>
      <c r="F2331" s="6" t="s">
        <v>6400</v>
      </c>
      <c r="G2331" s="6" t="s">
        <v>6401</v>
      </c>
      <c r="H2331" s="8" t="s">
        <v>6402</v>
      </c>
      <c r="I2331" s="14">
        <v>45302</v>
      </c>
    </row>
    <row r="2332" spans="1:9" x14ac:dyDescent="0.15">
      <c r="A2332" s="5">
        <v>2331</v>
      </c>
      <c r="B2332" s="6" t="s">
        <v>9</v>
      </c>
      <c r="C2332" s="7">
        <v>1882</v>
      </c>
      <c r="D2332" s="8">
        <v>45388</v>
      </c>
      <c r="E2332" s="9" t="str">
        <f>+HYPERLINK("http://trademark.i-assist.jp/data/china/image_1882th/76329653.pdf","76329653")</f>
        <v>76329653</v>
      </c>
      <c r="F2332" s="6" t="s">
        <v>6403</v>
      </c>
      <c r="G2332" s="6" t="s">
        <v>5969</v>
      </c>
      <c r="H2332" s="8" t="s">
        <v>6404</v>
      </c>
      <c r="I2332" s="14">
        <v>45302</v>
      </c>
    </row>
    <row r="2333" spans="1:9" x14ac:dyDescent="0.15">
      <c r="A2333" s="5">
        <v>2332</v>
      </c>
      <c r="B2333" s="6" t="s">
        <v>9</v>
      </c>
      <c r="C2333" s="7">
        <v>1882</v>
      </c>
      <c r="D2333" s="8">
        <v>45388</v>
      </c>
      <c r="E2333" s="9" t="str">
        <f>+HYPERLINK("http://trademark.i-assist.jp/data/china/image_1882th/76329753.pdf","76329753")</f>
        <v>76329753</v>
      </c>
      <c r="F2333" s="6" t="s">
        <v>6405</v>
      </c>
      <c r="G2333" s="6" t="s">
        <v>6250</v>
      </c>
      <c r="H2333" s="8" t="s">
        <v>6406</v>
      </c>
      <c r="I2333" s="14">
        <v>45302</v>
      </c>
    </row>
    <row r="2334" spans="1:9" x14ac:dyDescent="0.15">
      <c r="A2334" s="5">
        <v>2333</v>
      </c>
      <c r="B2334" s="6" t="s">
        <v>9</v>
      </c>
      <c r="C2334" s="7">
        <v>1882</v>
      </c>
      <c r="D2334" s="8">
        <v>45388</v>
      </c>
      <c r="E2334" s="9" t="str">
        <f>+HYPERLINK("http://trademark.i-assist.jp/data/china/image_1882th/76329824.pdf","76329824")</f>
        <v>76329824</v>
      </c>
      <c r="F2334" s="6" t="s">
        <v>6407</v>
      </c>
      <c r="G2334" s="6" t="s">
        <v>6408</v>
      </c>
      <c r="H2334" s="8" t="s">
        <v>6409</v>
      </c>
      <c r="I2334" s="14">
        <v>45302</v>
      </c>
    </row>
    <row r="2335" spans="1:9" x14ac:dyDescent="0.15">
      <c r="A2335" s="5">
        <v>2334</v>
      </c>
      <c r="B2335" s="6" t="s">
        <v>9</v>
      </c>
      <c r="C2335" s="7">
        <v>1882</v>
      </c>
      <c r="D2335" s="8">
        <v>45388</v>
      </c>
      <c r="E2335" s="9" t="str">
        <f>+HYPERLINK("http://trademark.i-assist.jp/data/china/image_1882th/76329928.pdf","76329928")</f>
        <v>76329928</v>
      </c>
      <c r="F2335" s="6" t="s">
        <v>6410</v>
      </c>
      <c r="G2335" s="6" t="s">
        <v>6379</v>
      </c>
      <c r="H2335" s="8" t="s">
        <v>6411</v>
      </c>
      <c r="I2335" s="14">
        <v>45302</v>
      </c>
    </row>
    <row r="2336" spans="1:9" x14ac:dyDescent="0.15">
      <c r="A2336" s="5">
        <v>2335</v>
      </c>
      <c r="B2336" s="6" t="s">
        <v>9</v>
      </c>
      <c r="C2336" s="7">
        <v>1882</v>
      </c>
      <c r="D2336" s="8">
        <v>45388</v>
      </c>
      <c r="E2336" s="9" t="str">
        <f>+HYPERLINK("http://trademark.i-assist.jp/data/china/image_1882th/76329989.pdf","76329989")</f>
        <v>76329989</v>
      </c>
      <c r="F2336" s="6" t="s">
        <v>6412</v>
      </c>
      <c r="G2336" s="6" t="s">
        <v>6413</v>
      </c>
      <c r="H2336" s="8" t="s">
        <v>6414</v>
      </c>
      <c r="I2336" s="14">
        <v>45302</v>
      </c>
    </row>
    <row r="2337" spans="1:9" x14ac:dyDescent="0.15">
      <c r="A2337" s="5">
        <v>2336</v>
      </c>
      <c r="B2337" s="6" t="s">
        <v>9</v>
      </c>
      <c r="C2337" s="7">
        <v>1882</v>
      </c>
      <c r="D2337" s="8">
        <v>45388</v>
      </c>
      <c r="E2337" s="9" t="str">
        <f>+HYPERLINK("http://trademark.i-assist.jp/data/china/image_1882th/76329994.pdf","76329994")</f>
        <v>76329994</v>
      </c>
      <c r="F2337" s="6" t="s">
        <v>6415</v>
      </c>
      <c r="G2337" s="6" t="s">
        <v>6416</v>
      </c>
      <c r="H2337" s="8" t="s">
        <v>6417</v>
      </c>
      <c r="I2337" s="14">
        <v>45302</v>
      </c>
    </row>
    <row r="2338" spans="1:9" x14ac:dyDescent="0.15">
      <c r="A2338" s="5">
        <v>2337</v>
      </c>
      <c r="B2338" s="6" t="s">
        <v>9</v>
      </c>
      <c r="C2338" s="7">
        <v>1882</v>
      </c>
      <c r="D2338" s="8">
        <v>45388</v>
      </c>
      <c r="E2338" s="9" t="str">
        <f>+HYPERLINK("http://trademark.i-assist.jp/data/china/image_1882th/76330112.pdf","76330112")</f>
        <v>76330112</v>
      </c>
      <c r="F2338" s="6" t="s">
        <v>6418</v>
      </c>
      <c r="G2338" s="6" t="s">
        <v>6419</v>
      </c>
      <c r="H2338" s="8" t="s">
        <v>6420</v>
      </c>
      <c r="I2338" s="14">
        <v>45302</v>
      </c>
    </row>
    <row r="2339" spans="1:9" x14ac:dyDescent="0.15">
      <c r="A2339" s="5">
        <v>2338</v>
      </c>
      <c r="B2339" s="6" t="s">
        <v>9</v>
      </c>
      <c r="C2339" s="7">
        <v>1882</v>
      </c>
      <c r="D2339" s="8">
        <v>45388</v>
      </c>
      <c r="E2339" s="9" t="str">
        <f>+HYPERLINK("http://trademark.i-assist.jp/data/china/image_1882th/76330114.pdf","76330114")</f>
        <v>76330114</v>
      </c>
      <c r="F2339" s="6" t="s">
        <v>26</v>
      </c>
      <c r="G2339" s="6" t="s">
        <v>6421</v>
      </c>
      <c r="H2339" s="8" t="s">
        <v>6422</v>
      </c>
      <c r="I2339" s="14">
        <v>45302</v>
      </c>
    </row>
    <row r="2340" spans="1:9" x14ac:dyDescent="0.15">
      <c r="A2340" s="5">
        <v>2339</v>
      </c>
      <c r="B2340" s="6" t="s">
        <v>9</v>
      </c>
      <c r="C2340" s="7">
        <v>1882</v>
      </c>
      <c r="D2340" s="8">
        <v>45388</v>
      </c>
      <c r="E2340" s="9" t="str">
        <f>+HYPERLINK("http://trademark.i-assist.jp/data/china/image_1882th/76330208.pdf","76330208")</f>
        <v>76330208</v>
      </c>
      <c r="F2340" s="6" t="s">
        <v>6423</v>
      </c>
      <c r="G2340" s="6" t="s">
        <v>6424</v>
      </c>
      <c r="H2340" s="8" t="s">
        <v>6425</v>
      </c>
      <c r="I2340" s="14">
        <v>45302</v>
      </c>
    </row>
    <row r="2341" spans="1:9" x14ac:dyDescent="0.15">
      <c r="A2341" s="5">
        <v>2340</v>
      </c>
      <c r="B2341" s="6" t="s">
        <v>9</v>
      </c>
      <c r="C2341" s="7">
        <v>1882</v>
      </c>
      <c r="D2341" s="8">
        <v>45388</v>
      </c>
      <c r="E2341" s="9" t="str">
        <f>+HYPERLINK("http://trademark.i-assist.jp/data/china/image_1882th/76330220.pdf","76330220")</f>
        <v>76330220</v>
      </c>
      <c r="F2341" s="6" t="s">
        <v>6426</v>
      </c>
      <c r="G2341" s="6" t="s">
        <v>6427</v>
      </c>
      <c r="H2341" s="8" t="s">
        <v>6428</v>
      </c>
      <c r="I2341" s="14">
        <v>45302</v>
      </c>
    </row>
    <row r="2342" spans="1:9" x14ac:dyDescent="0.15">
      <c r="A2342" s="5">
        <v>2341</v>
      </c>
      <c r="B2342" s="6" t="s">
        <v>9</v>
      </c>
      <c r="C2342" s="7">
        <v>1882</v>
      </c>
      <c r="D2342" s="8">
        <v>45388</v>
      </c>
      <c r="E2342" s="9" t="str">
        <f>+HYPERLINK("http://trademark.i-assist.jp/data/china/image_1882th/76330307.pdf","76330307")</f>
        <v>76330307</v>
      </c>
      <c r="F2342" s="6" t="s">
        <v>6429</v>
      </c>
      <c r="G2342" s="6" t="s">
        <v>6157</v>
      </c>
      <c r="H2342" s="8" t="s">
        <v>6430</v>
      </c>
      <c r="I2342" s="14">
        <v>45302</v>
      </c>
    </row>
    <row r="2343" spans="1:9" x14ac:dyDescent="0.15">
      <c r="A2343" s="5">
        <v>2342</v>
      </c>
      <c r="B2343" s="6" t="s">
        <v>9</v>
      </c>
      <c r="C2343" s="7">
        <v>1882</v>
      </c>
      <c r="D2343" s="8">
        <v>45388</v>
      </c>
      <c r="E2343" s="9" t="str">
        <f>+HYPERLINK("http://trademark.i-assist.jp/data/china/image_1882th/76330338.pdf","76330338")</f>
        <v>76330338</v>
      </c>
      <c r="F2343" s="6" t="s">
        <v>6431</v>
      </c>
      <c r="G2343" s="6" t="s">
        <v>6432</v>
      </c>
      <c r="H2343" s="8" t="s">
        <v>6433</v>
      </c>
      <c r="I2343" s="14">
        <v>45302</v>
      </c>
    </row>
    <row r="2344" spans="1:9" x14ac:dyDescent="0.15">
      <c r="A2344" s="5">
        <v>2343</v>
      </c>
      <c r="B2344" s="6" t="s">
        <v>9</v>
      </c>
      <c r="C2344" s="7">
        <v>1882</v>
      </c>
      <c r="D2344" s="8">
        <v>45388</v>
      </c>
      <c r="E2344" s="9" t="str">
        <f>+HYPERLINK("http://trademark.i-assist.jp/data/china/image_1882th/76330345.pdf","76330345")</f>
        <v>76330345</v>
      </c>
      <c r="F2344" s="6" t="s">
        <v>6434</v>
      </c>
      <c r="G2344" s="6" t="s">
        <v>5969</v>
      </c>
      <c r="H2344" s="8" t="s">
        <v>6435</v>
      </c>
      <c r="I2344" s="14">
        <v>45302</v>
      </c>
    </row>
    <row r="2345" spans="1:9" x14ac:dyDescent="0.15">
      <c r="A2345" s="5">
        <v>2344</v>
      </c>
      <c r="B2345" s="6" t="s">
        <v>9</v>
      </c>
      <c r="C2345" s="7">
        <v>1882</v>
      </c>
      <c r="D2345" s="8">
        <v>45388</v>
      </c>
      <c r="E2345" s="9" t="str">
        <f>+HYPERLINK("http://trademark.i-assist.jp/data/china/image_1882th/76330372.pdf","76330372")</f>
        <v>76330372</v>
      </c>
      <c r="F2345" s="6" t="s">
        <v>6436</v>
      </c>
      <c r="G2345" s="6" t="s">
        <v>6437</v>
      </c>
      <c r="H2345" s="8" t="s">
        <v>6438</v>
      </c>
      <c r="I2345" s="14">
        <v>45302</v>
      </c>
    </row>
    <row r="2346" spans="1:9" x14ac:dyDescent="0.15">
      <c r="A2346" s="5">
        <v>2345</v>
      </c>
      <c r="B2346" s="6" t="s">
        <v>9</v>
      </c>
      <c r="C2346" s="7">
        <v>1882</v>
      </c>
      <c r="D2346" s="8">
        <v>45388</v>
      </c>
      <c r="E2346" s="9" t="str">
        <f>+HYPERLINK("http://trademark.i-assist.jp/data/china/image_1882th/76330378.pdf","76330378")</f>
        <v>76330378</v>
      </c>
      <c r="F2346" s="6" t="s">
        <v>6439</v>
      </c>
      <c r="G2346" s="6" t="s">
        <v>4681</v>
      </c>
      <c r="H2346" s="8" t="s">
        <v>6440</v>
      </c>
      <c r="I2346" s="14">
        <v>45302</v>
      </c>
    </row>
    <row r="2347" spans="1:9" x14ac:dyDescent="0.15">
      <c r="A2347" s="5">
        <v>2346</v>
      </c>
      <c r="B2347" s="6" t="s">
        <v>9</v>
      </c>
      <c r="C2347" s="7">
        <v>1882</v>
      </c>
      <c r="D2347" s="8">
        <v>45388</v>
      </c>
      <c r="E2347" s="9" t="str">
        <f>+HYPERLINK("http://trademark.i-assist.jp/data/china/image_1882th/76330589.pdf","76330589")</f>
        <v>76330589</v>
      </c>
      <c r="F2347" s="6" t="s">
        <v>6441</v>
      </c>
      <c r="G2347" s="6" t="s">
        <v>6442</v>
      </c>
      <c r="H2347" s="8" t="s">
        <v>6443</v>
      </c>
      <c r="I2347" s="14">
        <v>45302</v>
      </c>
    </row>
    <row r="2348" spans="1:9" x14ac:dyDescent="0.15">
      <c r="A2348" s="5">
        <v>2347</v>
      </c>
      <c r="B2348" s="6" t="s">
        <v>9</v>
      </c>
      <c r="C2348" s="7">
        <v>1882</v>
      </c>
      <c r="D2348" s="8">
        <v>45388</v>
      </c>
      <c r="E2348" s="9" t="str">
        <f>+HYPERLINK("http://trademark.i-assist.jp/data/china/image_1882th/76330627.pdf","76330627")</f>
        <v>76330627</v>
      </c>
      <c r="F2348" s="6" t="s">
        <v>6444</v>
      </c>
      <c r="G2348" s="6" t="s">
        <v>6445</v>
      </c>
      <c r="H2348" s="8" t="s">
        <v>6446</v>
      </c>
      <c r="I2348" s="14">
        <v>45302</v>
      </c>
    </row>
    <row r="2349" spans="1:9" x14ac:dyDescent="0.15">
      <c r="A2349" s="5">
        <v>2348</v>
      </c>
      <c r="B2349" s="6" t="s">
        <v>9</v>
      </c>
      <c r="C2349" s="7">
        <v>1882</v>
      </c>
      <c r="D2349" s="8">
        <v>45388</v>
      </c>
      <c r="E2349" s="9" t="str">
        <f>+HYPERLINK("http://trademark.i-assist.jp/data/china/image_1882th/76330660.pdf","76330660")</f>
        <v>76330660</v>
      </c>
      <c r="F2349" s="6" t="s">
        <v>6447</v>
      </c>
      <c r="G2349" s="6" t="s">
        <v>6448</v>
      </c>
      <c r="H2349" s="8" t="s">
        <v>6449</v>
      </c>
      <c r="I2349" s="14">
        <v>45302</v>
      </c>
    </row>
    <row r="2350" spans="1:9" x14ac:dyDescent="0.15">
      <c r="A2350" s="5">
        <v>2349</v>
      </c>
      <c r="B2350" s="6" t="s">
        <v>9</v>
      </c>
      <c r="C2350" s="7">
        <v>1882</v>
      </c>
      <c r="D2350" s="8">
        <v>45388</v>
      </c>
      <c r="E2350" s="9" t="str">
        <f>+HYPERLINK("http://trademark.i-assist.jp/data/china/image_1882th/76330683.pdf","76330683")</f>
        <v>76330683</v>
      </c>
      <c r="F2350" s="6" t="s">
        <v>6450</v>
      </c>
      <c r="G2350" s="6" t="s">
        <v>6347</v>
      </c>
      <c r="H2350" s="8" t="s">
        <v>6451</v>
      </c>
      <c r="I2350" s="14">
        <v>45302</v>
      </c>
    </row>
    <row r="2351" spans="1:9" x14ac:dyDescent="0.15">
      <c r="A2351" s="5">
        <v>2350</v>
      </c>
      <c r="B2351" s="6" t="s">
        <v>9</v>
      </c>
      <c r="C2351" s="7">
        <v>1882</v>
      </c>
      <c r="D2351" s="8">
        <v>45388</v>
      </c>
      <c r="E2351" s="9" t="str">
        <f>+HYPERLINK("http://trademark.i-assist.jp/data/china/image_1882th/76330877.pdf","76330877")</f>
        <v>76330877</v>
      </c>
      <c r="F2351" s="6" t="s">
        <v>6452</v>
      </c>
      <c r="G2351" s="6" t="s">
        <v>6453</v>
      </c>
      <c r="H2351" s="8" t="s">
        <v>6454</v>
      </c>
      <c r="I2351" s="14">
        <v>45302</v>
      </c>
    </row>
    <row r="2352" spans="1:9" x14ac:dyDescent="0.15">
      <c r="A2352" s="5">
        <v>2351</v>
      </c>
      <c r="B2352" s="6" t="s">
        <v>9</v>
      </c>
      <c r="C2352" s="7">
        <v>1882</v>
      </c>
      <c r="D2352" s="8">
        <v>45388</v>
      </c>
      <c r="E2352" s="9" t="str">
        <f>+HYPERLINK("http://trademark.i-assist.jp/data/china/image_1882th/76330908.pdf","76330908")</f>
        <v>76330908</v>
      </c>
      <c r="F2352" s="6" t="s">
        <v>6455</v>
      </c>
      <c r="G2352" s="6" t="s">
        <v>6456</v>
      </c>
      <c r="H2352" s="8" t="s">
        <v>6457</v>
      </c>
      <c r="I2352" s="14">
        <v>45302</v>
      </c>
    </row>
    <row r="2353" spans="1:9" x14ac:dyDescent="0.15">
      <c r="A2353" s="5">
        <v>2352</v>
      </c>
      <c r="B2353" s="6" t="s">
        <v>9</v>
      </c>
      <c r="C2353" s="7">
        <v>1882</v>
      </c>
      <c r="D2353" s="8">
        <v>45388</v>
      </c>
      <c r="E2353" s="9" t="str">
        <f>+HYPERLINK("http://trademark.i-assist.jp/data/china/image_1882th/76330950.pdf","76330950")</f>
        <v>76330950</v>
      </c>
      <c r="F2353" s="6" t="s">
        <v>6458</v>
      </c>
      <c r="G2353" s="6" t="s">
        <v>6459</v>
      </c>
      <c r="H2353" s="8" t="s">
        <v>6460</v>
      </c>
      <c r="I2353" s="14">
        <v>45302</v>
      </c>
    </row>
    <row r="2354" spans="1:9" x14ac:dyDescent="0.15">
      <c r="A2354" s="5">
        <v>2353</v>
      </c>
      <c r="B2354" s="6" t="s">
        <v>9</v>
      </c>
      <c r="C2354" s="7">
        <v>1882</v>
      </c>
      <c r="D2354" s="8">
        <v>45388</v>
      </c>
      <c r="E2354" s="9" t="str">
        <f>+HYPERLINK("http://trademark.i-assist.jp/data/china/image_1882th/76331002.pdf","76331002")</f>
        <v>76331002</v>
      </c>
      <c r="F2354" s="6" t="s">
        <v>6461</v>
      </c>
      <c r="G2354" s="6" t="s">
        <v>6462</v>
      </c>
      <c r="H2354" s="8" t="s">
        <v>6463</v>
      </c>
      <c r="I2354" s="14">
        <v>45302</v>
      </c>
    </row>
    <row r="2355" spans="1:9" x14ac:dyDescent="0.15">
      <c r="A2355" s="5">
        <v>2354</v>
      </c>
      <c r="B2355" s="6" t="s">
        <v>9</v>
      </c>
      <c r="C2355" s="7">
        <v>1882</v>
      </c>
      <c r="D2355" s="8">
        <v>45388</v>
      </c>
      <c r="E2355" s="9" t="str">
        <f>+HYPERLINK("http://trademark.i-assist.jp/data/china/image_1882th/76331051.pdf","76331051")</f>
        <v>76331051</v>
      </c>
      <c r="F2355" s="6" t="s">
        <v>6464</v>
      </c>
      <c r="G2355" s="6" t="s">
        <v>6318</v>
      </c>
      <c r="H2355" s="8" t="s">
        <v>6465</v>
      </c>
      <c r="I2355" s="14">
        <v>45302</v>
      </c>
    </row>
    <row r="2356" spans="1:9" x14ac:dyDescent="0.15">
      <c r="A2356" s="5">
        <v>2355</v>
      </c>
      <c r="B2356" s="6" t="s">
        <v>9</v>
      </c>
      <c r="C2356" s="7">
        <v>1882</v>
      </c>
      <c r="D2356" s="8">
        <v>45388</v>
      </c>
      <c r="E2356" s="9" t="str">
        <f>+HYPERLINK("http://trademark.i-assist.jp/data/china/image_1882th/76331211.pdf","76331211")</f>
        <v>76331211</v>
      </c>
      <c r="F2356" s="6" t="s">
        <v>6466</v>
      </c>
      <c r="G2356" s="6" t="s">
        <v>6467</v>
      </c>
      <c r="H2356" s="8" t="s">
        <v>6468</v>
      </c>
      <c r="I2356" s="14">
        <v>45302</v>
      </c>
    </row>
    <row r="2357" spans="1:9" x14ac:dyDescent="0.15">
      <c r="A2357" s="5">
        <v>2356</v>
      </c>
      <c r="B2357" s="6" t="s">
        <v>9</v>
      </c>
      <c r="C2357" s="7">
        <v>1882</v>
      </c>
      <c r="D2357" s="8">
        <v>45388</v>
      </c>
      <c r="E2357" s="9" t="str">
        <f>+HYPERLINK("http://trademark.i-assist.jp/data/china/image_1882th/76331300.pdf","76331300")</f>
        <v>76331300</v>
      </c>
      <c r="F2357" s="6" t="s">
        <v>6469</v>
      </c>
      <c r="G2357" s="6" t="s">
        <v>6470</v>
      </c>
      <c r="H2357" s="8" t="s">
        <v>6471</v>
      </c>
      <c r="I2357" s="14">
        <v>45302</v>
      </c>
    </row>
    <row r="2358" spans="1:9" x14ac:dyDescent="0.15">
      <c r="A2358" s="5">
        <v>2357</v>
      </c>
      <c r="B2358" s="6" t="s">
        <v>9</v>
      </c>
      <c r="C2358" s="7">
        <v>1882</v>
      </c>
      <c r="D2358" s="8">
        <v>45388</v>
      </c>
      <c r="E2358" s="9" t="str">
        <f>+HYPERLINK("http://trademark.i-assist.jp/data/china/image_1882th/76331363.pdf","76331363")</f>
        <v>76331363</v>
      </c>
      <c r="F2358" s="6" t="s">
        <v>6472</v>
      </c>
      <c r="G2358" s="6" t="s">
        <v>6473</v>
      </c>
      <c r="H2358" s="8" t="s">
        <v>6474</v>
      </c>
      <c r="I2358" s="14">
        <v>45302</v>
      </c>
    </row>
    <row r="2359" spans="1:9" x14ac:dyDescent="0.15">
      <c r="A2359" s="5">
        <v>2358</v>
      </c>
      <c r="B2359" s="6" t="s">
        <v>9</v>
      </c>
      <c r="C2359" s="7">
        <v>1882</v>
      </c>
      <c r="D2359" s="8">
        <v>45388</v>
      </c>
      <c r="E2359" s="9" t="str">
        <f>+HYPERLINK("http://trademark.i-assist.jp/data/china/image_1882th/76331413.pdf","76331413")</f>
        <v>76331413</v>
      </c>
      <c r="F2359" s="6" t="s">
        <v>6475</v>
      </c>
      <c r="G2359" s="6" t="s">
        <v>6476</v>
      </c>
      <c r="H2359" s="8" t="s">
        <v>6477</v>
      </c>
      <c r="I2359" s="14">
        <v>45302</v>
      </c>
    </row>
    <row r="2360" spans="1:9" x14ac:dyDescent="0.15">
      <c r="A2360" s="5">
        <v>2359</v>
      </c>
      <c r="B2360" s="6" t="s">
        <v>9</v>
      </c>
      <c r="C2360" s="7">
        <v>1882</v>
      </c>
      <c r="D2360" s="8">
        <v>45388</v>
      </c>
      <c r="E2360" s="9" t="str">
        <f>+HYPERLINK("http://trademark.i-assist.jp/data/china/image_1882th/76331594.pdf","76331594")</f>
        <v>76331594</v>
      </c>
      <c r="F2360" s="6" t="s">
        <v>6478</v>
      </c>
      <c r="G2360" s="6" t="s">
        <v>6165</v>
      </c>
      <c r="H2360" s="8" t="s">
        <v>6479</v>
      </c>
      <c r="I2360" s="14">
        <v>45302</v>
      </c>
    </row>
    <row r="2361" spans="1:9" x14ac:dyDescent="0.15">
      <c r="A2361" s="5">
        <v>2360</v>
      </c>
      <c r="B2361" s="6" t="s">
        <v>9</v>
      </c>
      <c r="C2361" s="7">
        <v>1882</v>
      </c>
      <c r="D2361" s="8">
        <v>45388</v>
      </c>
      <c r="E2361" s="9" t="str">
        <f>+HYPERLINK("http://trademark.i-assist.jp/data/china/image_1882th/76331740.pdf","76331740")</f>
        <v>76331740</v>
      </c>
      <c r="F2361" s="6" t="s">
        <v>26</v>
      </c>
      <c r="G2361" s="6" t="s">
        <v>6480</v>
      </c>
      <c r="H2361" s="8" t="s">
        <v>6481</v>
      </c>
      <c r="I2361" s="14">
        <v>45302</v>
      </c>
    </row>
    <row r="2362" spans="1:9" x14ac:dyDescent="0.15">
      <c r="A2362" s="5">
        <v>2361</v>
      </c>
      <c r="B2362" s="6" t="s">
        <v>9</v>
      </c>
      <c r="C2362" s="7">
        <v>1882</v>
      </c>
      <c r="D2362" s="8">
        <v>45388</v>
      </c>
      <c r="E2362" s="9" t="str">
        <f>+HYPERLINK("http://trademark.i-assist.jp/data/china/image_1882th/76331924.pdf","76331924")</f>
        <v>76331924</v>
      </c>
      <c r="F2362" s="6" t="s">
        <v>26</v>
      </c>
      <c r="G2362" s="6" t="s">
        <v>5969</v>
      </c>
      <c r="H2362" s="8" t="s">
        <v>6482</v>
      </c>
      <c r="I2362" s="14">
        <v>45302</v>
      </c>
    </row>
    <row r="2363" spans="1:9" x14ac:dyDescent="0.15">
      <c r="A2363" s="5">
        <v>2362</v>
      </c>
      <c r="B2363" s="6" t="s">
        <v>9</v>
      </c>
      <c r="C2363" s="7">
        <v>1882</v>
      </c>
      <c r="D2363" s="8">
        <v>45388</v>
      </c>
      <c r="E2363" s="9" t="str">
        <f>+HYPERLINK("http://trademark.i-assist.jp/data/china/image_1882th/76332126.pdf","76332126")</f>
        <v>76332126</v>
      </c>
      <c r="F2363" s="6" t="s">
        <v>6483</v>
      </c>
      <c r="G2363" s="6" t="s">
        <v>6398</v>
      </c>
      <c r="H2363" s="8" t="s">
        <v>6484</v>
      </c>
      <c r="I2363" s="14">
        <v>45302</v>
      </c>
    </row>
    <row r="2364" spans="1:9" x14ac:dyDescent="0.15">
      <c r="A2364" s="5">
        <v>2363</v>
      </c>
      <c r="B2364" s="6" t="s">
        <v>9</v>
      </c>
      <c r="C2364" s="7">
        <v>1882</v>
      </c>
      <c r="D2364" s="8">
        <v>45388</v>
      </c>
      <c r="E2364" s="9" t="str">
        <f>+HYPERLINK("http://trademark.i-assist.jp/data/china/image_1882th/76332263.pdf","76332263")</f>
        <v>76332263</v>
      </c>
      <c r="F2364" s="6" t="s">
        <v>6485</v>
      </c>
      <c r="G2364" s="6" t="s">
        <v>6486</v>
      </c>
      <c r="H2364" s="8" t="s">
        <v>6487</v>
      </c>
      <c r="I2364" s="14">
        <v>45302</v>
      </c>
    </row>
    <row r="2365" spans="1:9" x14ac:dyDescent="0.15">
      <c r="A2365" s="5">
        <v>2364</v>
      </c>
      <c r="B2365" s="6" t="s">
        <v>9</v>
      </c>
      <c r="C2365" s="7">
        <v>1882</v>
      </c>
      <c r="D2365" s="8">
        <v>45388</v>
      </c>
      <c r="E2365" s="9" t="str">
        <f>+HYPERLINK("http://trademark.i-assist.jp/data/china/image_1882th/76332269.pdf","76332269")</f>
        <v>76332269</v>
      </c>
      <c r="F2365" s="6" t="s">
        <v>6488</v>
      </c>
      <c r="G2365" s="6" t="s">
        <v>6489</v>
      </c>
      <c r="H2365" s="8" t="s">
        <v>6490</v>
      </c>
      <c r="I2365" s="14">
        <v>45302</v>
      </c>
    </row>
    <row r="2366" spans="1:9" x14ac:dyDescent="0.15">
      <c r="A2366" s="5">
        <v>2365</v>
      </c>
      <c r="B2366" s="6" t="s">
        <v>9</v>
      </c>
      <c r="C2366" s="7">
        <v>1882</v>
      </c>
      <c r="D2366" s="8">
        <v>45388</v>
      </c>
      <c r="E2366" s="9" t="str">
        <f>+HYPERLINK("http://trademark.i-assist.jp/data/china/image_1882th/76332345.pdf","76332345")</f>
        <v>76332345</v>
      </c>
      <c r="F2366" s="6" t="s">
        <v>6491</v>
      </c>
      <c r="G2366" s="6" t="s">
        <v>6165</v>
      </c>
      <c r="H2366" s="8" t="s">
        <v>6492</v>
      </c>
      <c r="I2366" s="14">
        <v>45302</v>
      </c>
    </row>
    <row r="2367" spans="1:9" x14ac:dyDescent="0.15">
      <c r="A2367" s="5">
        <v>2366</v>
      </c>
      <c r="B2367" s="6" t="s">
        <v>9</v>
      </c>
      <c r="C2367" s="7">
        <v>1882</v>
      </c>
      <c r="D2367" s="8">
        <v>45388</v>
      </c>
      <c r="E2367" s="9" t="str">
        <f>+HYPERLINK("http://trademark.i-assist.jp/data/china/image_1882th/76332490.pdf","76332490")</f>
        <v>76332490</v>
      </c>
      <c r="F2367" s="6" t="s">
        <v>6493</v>
      </c>
      <c r="G2367" s="6" t="s">
        <v>6494</v>
      </c>
      <c r="H2367" s="8" t="s">
        <v>6495</v>
      </c>
      <c r="I2367" s="14">
        <v>45302</v>
      </c>
    </row>
    <row r="2368" spans="1:9" x14ac:dyDescent="0.15">
      <c r="A2368" s="5">
        <v>2367</v>
      </c>
      <c r="B2368" s="6" t="s">
        <v>9</v>
      </c>
      <c r="C2368" s="7">
        <v>1882</v>
      </c>
      <c r="D2368" s="8">
        <v>45388</v>
      </c>
      <c r="E2368" s="9" t="str">
        <f>+HYPERLINK("http://trademark.i-assist.jp/data/china/image_1882th/76332594.pdf","76332594")</f>
        <v>76332594</v>
      </c>
      <c r="F2368" s="6" t="s">
        <v>6496</v>
      </c>
      <c r="G2368" s="6" t="s">
        <v>6280</v>
      </c>
      <c r="H2368" s="8" t="s">
        <v>6497</v>
      </c>
      <c r="I2368" s="14">
        <v>45302</v>
      </c>
    </row>
    <row r="2369" spans="1:9" x14ac:dyDescent="0.15">
      <c r="A2369" s="5">
        <v>2368</v>
      </c>
      <c r="B2369" s="6" t="s">
        <v>9</v>
      </c>
      <c r="C2369" s="7">
        <v>1882</v>
      </c>
      <c r="D2369" s="8">
        <v>45388</v>
      </c>
      <c r="E2369" s="9" t="str">
        <f>+HYPERLINK("http://trademark.i-assist.jp/data/china/image_1882th/76332688.pdf","76332688")</f>
        <v>76332688</v>
      </c>
      <c r="F2369" s="6" t="s">
        <v>6498</v>
      </c>
      <c r="G2369" s="6" t="s">
        <v>6499</v>
      </c>
      <c r="H2369" s="8" t="s">
        <v>6500</v>
      </c>
      <c r="I2369" s="14">
        <v>45302</v>
      </c>
    </row>
    <row r="2370" spans="1:9" x14ac:dyDescent="0.15">
      <c r="A2370" s="5">
        <v>2369</v>
      </c>
      <c r="B2370" s="6" t="s">
        <v>9</v>
      </c>
      <c r="C2370" s="7">
        <v>1882</v>
      </c>
      <c r="D2370" s="8">
        <v>45388</v>
      </c>
      <c r="E2370" s="9" t="str">
        <f>+HYPERLINK("http://trademark.i-assist.jp/data/china/image_1882th/76332743.pdf","76332743")</f>
        <v>76332743</v>
      </c>
      <c r="F2370" s="6" t="s">
        <v>6501</v>
      </c>
      <c r="G2370" s="6" t="s">
        <v>6250</v>
      </c>
      <c r="H2370" s="8" t="s">
        <v>6502</v>
      </c>
      <c r="I2370" s="14">
        <v>45302</v>
      </c>
    </row>
    <row r="2371" spans="1:9" x14ac:dyDescent="0.15">
      <c r="A2371" s="5">
        <v>2370</v>
      </c>
      <c r="B2371" s="6" t="s">
        <v>9</v>
      </c>
      <c r="C2371" s="7">
        <v>1882</v>
      </c>
      <c r="D2371" s="8">
        <v>45388</v>
      </c>
      <c r="E2371" s="9" t="str">
        <f>+HYPERLINK("http://trademark.i-assist.jp/data/china/image_1882th/76332884.pdf","76332884")</f>
        <v>76332884</v>
      </c>
      <c r="F2371" s="6" t="s">
        <v>6503</v>
      </c>
      <c r="G2371" s="6" t="s">
        <v>6173</v>
      </c>
      <c r="H2371" s="8" t="s">
        <v>6504</v>
      </c>
      <c r="I2371" s="14">
        <v>45302</v>
      </c>
    </row>
    <row r="2372" spans="1:9" x14ac:dyDescent="0.15">
      <c r="A2372" s="5">
        <v>2371</v>
      </c>
      <c r="B2372" s="6" t="s">
        <v>9</v>
      </c>
      <c r="C2372" s="7">
        <v>1882</v>
      </c>
      <c r="D2372" s="8">
        <v>45388</v>
      </c>
      <c r="E2372" s="9" t="str">
        <f>+HYPERLINK("http://trademark.i-assist.jp/data/china/image_1882th/76333046.pdf","76333046")</f>
        <v>76333046</v>
      </c>
      <c r="F2372" s="6" t="s">
        <v>6505</v>
      </c>
      <c r="G2372" s="6" t="s">
        <v>6506</v>
      </c>
      <c r="H2372" s="8" t="s">
        <v>6507</v>
      </c>
      <c r="I2372" s="14">
        <v>45302</v>
      </c>
    </row>
    <row r="2373" spans="1:9" x14ac:dyDescent="0.15">
      <c r="A2373" s="5">
        <v>2372</v>
      </c>
      <c r="B2373" s="6" t="s">
        <v>9</v>
      </c>
      <c r="C2373" s="7">
        <v>1882</v>
      </c>
      <c r="D2373" s="8">
        <v>45388</v>
      </c>
      <c r="E2373" s="9" t="str">
        <f>+HYPERLINK("http://trademark.i-assist.jp/data/china/image_1882th/76333147.pdf","76333147")</f>
        <v>76333147</v>
      </c>
      <c r="F2373" s="6" t="s">
        <v>6508</v>
      </c>
      <c r="G2373" s="6" t="s">
        <v>6509</v>
      </c>
      <c r="H2373" s="8" t="s">
        <v>6510</v>
      </c>
      <c r="I2373" s="14">
        <v>45302</v>
      </c>
    </row>
    <row r="2374" spans="1:9" x14ac:dyDescent="0.15">
      <c r="A2374" s="5">
        <v>2373</v>
      </c>
      <c r="B2374" s="6" t="s">
        <v>9</v>
      </c>
      <c r="C2374" s="7">
        <v>1882</v>
      </c>
      <c r="D2374" s="8">
        <v>45388</v>
      </c>
      <c r="E2374" s="9" t="str">
        <f>+HYPERLINK("http://trademark.i-assist.jp/data/china/image_1882th/76333261.pdf","76333261")</f>
        <v>76333261</v>
      </c>
      <c r="F2374" s="6" t="s">
        <v>26</v>
      </c>
      <c r="G2374" s="6" t="s">
        <v>4476</v>
      </c>
      <c r="H2374" s="8" t="s">
        <v>6511</v>
      </c>
      <c r="I2374" s="14">
        <v>45302</v>
      </c>
    </row>
    <row r="2375" spans="1:9" x14ac:dyDescent="0.15">
      <c r="A2375" s="5">
        <v>2374</v>
      </c>
      <c r="B2375" s="6" t="s">
        <v>9</v>
      </c>
      <c r="C2375" s="7">
        <v>1882</v>
      </c>
      <c r="D2375" s="8">
        <v>45388</v>
      </c>
      <c r="E2375" s="9" t="str">
        <f>+HYPERLINK("http://trademark.i-assist.jp/data/china/image_1882th/76333415.pdf","76333415")</f>
        <v>76333415</v>
      </c>
      <c r="F2375" s="6" t="s">
        <v>6512</v>
      </c>
      <c r="G2375" s="6" t="s">
        <v>6513</v>
      </c>
      <c r="H2375" s="8" t="s">
        <v>6514</v>
      </c>
      <c r="I2375" s="14">
        <v>45302</v>
      </c>
    </row>
    <row r="2376" spans="1:9" x14ac:dyDescent="0.15">
      <c r="A2376" s="5">
        <v>2375</v>
      </c>
      <c r="B2376" s="6" t="s">
        <v>9</v>
      </c>
      <c r="C2376" s="7">
        <v>1882</v>
      </c>
      <c r="D2376" s="8">
        <v>45388</v>
      </c>
      <c r="E2376" s="9" t="str">
        <f>+HYPERLINK("http://trademark.i-assist.jp/data/china/image_1882th/76333641.pdf","76333641")</f>
        <v>76333641</v>
      </c>
      <c r="F2376" s="6" t="s">
        <v>26</v>
      </c>
      <c r="G2376" s="6" t="s">
        <v>4476</v>
      </c>
      <c r="H2376" s="8" t="s">
        <v>6515</v>
      </c>
      <c r="I2376" s="14">
        <v>45302</v>
      </c>
    </row>
    <row r="2377" spans="1:9" x14ac:dyDescent="0.15">
      <c r="A2377" s="5">
        <v>2376</v>
      </c>
      <c r="B2377" s="6" t="s">
        <v>9</v>
      </c>
      <c r="C2377" s="7">
        <v>1882</v>
      </c>
      <c r="D2377" s="8">
        <v>45388</v>
      </c>
      <c r="E2377" s="9" t="str">
        <f>+HYPERLINK("http://trademark.i-assist.jp/data/china/image_1882th/76334318.pdf","76334318")</f>
        <v>76334318</v>
      </c>
      <c r="F2377" s="6" t="s">
        <v>2714</v>
      </c>
      <c r="G2377" s="6" t="s">
        <v>2715</v>
      </c>
      <c r="H2377" s="8" t="s">
        <v>6516</v>
      </c>
      <c r="I2377" s="14">
        <v>45302</v>
      </c>
    </row>
    <row r="2378" spans="1:9" x14ac:dyDescent="0.15">
      <c r="A2378" s="5">
        <v>2377</v>
      </c>
      <c r="B2378" s="6" t="s">
        <v>9</v>
      </c>
      <c r="C2378" s="7">
        <v>1882</v>
      </c>
      <c r="D2378" s="8">
        <v>45388</v>
      </c>
      <c r="E2378" s="9" t="str">
        <f>+HYPERLINK("http://trademark.i-assist.jp/data/china/image_1882th/76334681.pdf","76334681")</f>
        <v>76334681</v>
      </c>
      <c r="F2378" s="6" t="s">
        <v>6517</v>
      </c>
      <c r="G2378" s="6" t="s">
        <v>6396</v>
      </c>
      <c r="H2378" s="8" t="s">
        <v>6518</v>
      </c>
      <c r="I2378" s="14">
        <v>45302</v>
      </c>
    </row>
    <row r="2379" spans="1:9" x14ac:dyDescent="0.15">
      <c r="A2379" s="5">
        <v>2378</v>
      </c>
      <c r="B2379" s="6" t="s">
        <v>9</v>
      </c>
      <c r="C2379" s="7">
        <v>1882</v>
      </c>
      <c r="D2379" s="8">
        <v>45388</v>
      </c>
      <c r="E2379" s="9" t="str">
        <f>+HYPERLINK("http://trademark.i-assist.jp/data/china/image_1882th/76335001.pdf","76335001")</f>
        <v>76335001</v>
      </c>
      <c r="F2379" s="6" t="s">
        <v>6519</v>
      </c>
      <c r="G2379" s="6" t="s">
        <v>6520</v>
      </c>
      <c r="H2379" s="8" t="s">
        <v>6521</v>
      </c>
      <c r="I2379" s="14">
        <v>45302</v>
      </c>
    </row>
    <row r="2380" spans="1:9" x14ac:dyDescent="0.15">
      <c r="A2380" s="5">
        <v>2379</v>
      </c>
      <c r="B2380" s="6" t="s">
        <v>9</v>
      </c>
      <c r="C2380" s="7">
        <v>1882</v>
      </c>
      <c r="D2380" s="8">
        <v>45388</v>
      </c>
      <c r="E2380" s="9" t="str">
        <f>+HYPERLINK("http://trademark.i-assist.jp/data/china/image_1882th/76335028.pdf","76335028")</f>
        <v>76335028</v>
      </c>
      <c r="F2380" s="6" t="s">
        <v>6522</v>
      </c>
      <c r="G2380" s="6" t="s">
        <v>6523</v>
      </c>
      <c r="H2380" s="8" t="s">
        <v>6524</v>
      </c>
      <c r="I2380" s="14">
        <v>45302</v>
      </c>
    </row>
    <row r="2381" spans="1:9" x14ac:dyDescent="0.15">
      <c r="A2381" s="5">
        <v>2380</v>
      </c>
      <c r="B2381" s="6" t="s">
        <v>9</v>
      </c>
      <c r="C2381" s="7">
        <v>1882</v>
      </c>
      <c r="D2381" s="8">
        <v>45388</v>
      </c>
      <c r="E2381" s="9" t="str">
        <f>+HYPERLINK("http://trademark.i-assist.jp/data/china/image_1882th/76335124.pdf","76335124")</f>
        <v>76335124</v>
      </c>
      <c r="F2381" s="6" t="s">
        <v>6525</v>
      </c>
      <c r="G2381" s="6" t="s">
        <v>6341</v>
      </c>
      <c r="H2381" s="8" t="s">
        <v>6526</v>
      </c>
      <c r="I2381" s="14">
        <v>45302</v>
      </c>
    </row>
    <row r="2382" spans="1:9" x14ac:dyDescent="0.15">
      <c r="A2382" s="5">
        <v>2381</v>
      </c>
      <c r="B2382" s="6" t="s">
        <v>9</v>
      </c>
      <c r="C2382" s="7">
        <v>1882</v>
      </c>
      <c r="D2382" s="8">
        <v>45388</v>
      </c>
      <c r="E2382" s="9" t="str">
        <f>+HYPERLINK("http://trademark.i-assist.jp/data/china/image_1882th/76335237.pdf","76335237")</f>
        <v>76335237</v>
      </c>
      <c r="F2382" s="6" t="s">
        <v>6527</v>
      </c>
      <c r="G2382" s="6" t="s">
        <v>6173</v>
      </c>
      <c r="H2382" s="8" t="s">
        <v>6528</v>
      </c>
      <c r="I2382" s="14">
        <v>45302</v>
      </c>
    </row>
    <row r="2383" spans="1:9" x14ac:dyDescent="0.15">
      <c r="A2383" s="5">
        <v>2382</v>
      </c>
      <c r="B2383" s="6" t="s">
        <v>9</v>
      </c>
      <c r="C2383" s="7">
        <v>1882</v>
      </c>
      <c r="D2383" s="8">
        <v>45388</v>
      </c>
      <c r="E2383" s="9" t="str">
        <f>+HYPERLINK("http://trademark.i-assist.jp/data/china/image_1882th/76335302.pdf","76335302")</f>
        <v>76335302</v>
      </c>
      <c r="F2383" s="6" t="s">
        <v>6529</v>
      </c>
      <c r="G2383" s="6" t="s">
        <v>6530</v>
      </c>
      <c r="H2383" s="8" t="s">
        <v>6531</v>
      </c>
      <c r="I2383" s="14">
        <v>45302</v>
      </c>
    </row>
    <row r="2384" spans="1:9" x14ac:dyDescent="0.15">
      <c r="A2384" s="5">
        <v>2383</v>
      </c>
      <c r="B2384" s="6" t="s">
        <v>9</v>
      </c>
      <c r="C2384" s="7">
        <v>1882</v>
      </c>
      <c r="D2384" s="8">
        <v>45388</v>
      </c>
      <c r="E2384" s="9" t="str">
        <f>+HYPERLINK("http://trademark.i-assist.jp/data/china/image_1882th/76335353.pdf","76335353")</f>
        <v>76335353</v>
      </c>
      <c r="F2384" s="6" t="s">
        <v>6532</v>
      </c>
      <c r="G2384" s="6" t="s">
        <v>6533</v>
      </c>
      <c r="H2384" s="8" t="s">
        <v>6534</v>
      </c>
      <c r="I2384" s="14">
        <v>45302</v>
      </c>
    </row>
    <row r="2385" spans="1:9" x14ac:dyDescent="0.15">
      <c r="A2385" s="5">
        <v>2384</v>
      </c>
      <c r="B2385" s="6" t="s">
        <v>9</v>
      </c>
      <c r="C2385" s="7">
        <v>1882</v>
      </c>
      <c r="D2385" s="8">
        <v>45388</v>
      </c>
      <c r="E2385" s="9" t="str">
        <f>+HYPERLINK("http://trademark.i-assist.jp/data/china/image_1882th/76335383.pdf","76335383")</f>
        <v>76335383</v>
      </c>
      <c r="F2385" s="6" t="s">
        <v>6535</v>
      </c>
      <c r="G2385" s="6" t="s">
        <v>6536</v>
      </c>
      <c r="H2385" s="8" t="s">
        <v>6537</v>
      </c>
      <c r="I2385" s="14">
        <v>45302</v>
      </c>
    </row>
    <row r="2386" spans="1:9" x14ac:dyDescent="0.15">
      <c r="A2386" s="5">
        <v>2385</v>
      </c>
      <c r="B2386" s="6" t="s">
        <v>9</v>
      </c>
      <c r="C2386" s="7">
        <v>1882</v>
      </c>
      <c r="D2386" s="8">
        <v>45388</v>
      </c>
      <c r="E2386" s="9" t="str">
        <f>+HYPERLINK("http://trademark.i-assist.jp/data/china/image_1882th/76335841.pdf","76335841")</f>
        <v>76335841</v>
      </c>
      <c r="F2386" s="6" t="s">
        <v>6538</v>
      </c>
      <c r="G2386" s="6" t="s">
        <v>6539</v>
      </c>
      <c r="H2386" s="8" t="s">
        <v>6540</v>
      </c>
      <c r="I2386" s="14">
        <v>45302</v>
      </c>
    </row>
    <row r="2387" spans="1:9" x14ac:dyDescent="0.15">
      <c r="A2387" s="5">
        <v>2386</v>
      </c>
      <c r="B2387" s="6" t="s">
        <v>9</v>
      </c>
      <c r="C2387" s="7">
        <v>1882</v>
      </c>
      <c r="D2387" s="8">
        <v>45388</v>
      </c>
      <c r="E2387" s="9" t="str">
        <f>+HYPERLINK("http://trademark.i-assist.jp/data/china/image_1882th/76335951.pdf","76335951")</f>
        <v>76335951</v>
      </c>
      <c r="F2387" s="6" t="s">
        <v>6501</v>
      </c>
      <c r="G2387" s="6" t="s">
        <v>6250</v>
      </c>
      <c r="H2387" s="8" t="s">
        <v>6541</v>
      </c>
      <c r="I2387" s="14">
        <v>45302</v>
      </c>
    </row>
    <row r="2388" spans="1:9" x14ac:dyDescent="0.15">
      <c r="A2388" s="5">
        <v>2387</v>
      </c>
      <c r="B2388" s="6" t="s">
        <v>9</v>
      </c>
      <c r="C2388" s="7">
        <v>1882</v>
      </c>
      <c r="D2388" s="8">
        <v>45388</v>
      </c>
      <c r="E2388" s="9" t="str">
        <f>+HYPERLINK("http://trademark.i-assist.jp/data/china/image_1882th/76336083.pdf","76336083")</f>
        <v>76336083</v>
      </c>
      <c r="F2388" s="6" t="s">
        <v>6542</v>
      </c>
      <c r="G2388" s="6" t="s">
        <v>6543</v>
      </c>
      <c r="H2388" s="8" t="s">
        <v>6544</v>
      </c>
      <c r="I2388" s="14">
        <v>45302</v>
      </c>
    </row>
    <row r="2389" spans="1:9" x14ac:dyDescent="0.15">
      <c r="A2389" s="5">
        <v>2388</v>
      </c>
      <c r="B2389" s="6" t="s">
        <v>9</v>
      </c>
      <c r="C2389" s="7">
        <v>1882</v>
      </c>
      <c r="D2389" s="8">
        <v>45388</v>
      </c>
      <c r="E2389" s="9" t="str">
        <f>+HYPERLINK("http://trademark.i-assist.jp/data/china/image_1882th/76336187.pdf","76336187")</f>
        <v>76336187</v>
      </c>
      <c r="F2389" s="6" t="s">
        <v>6545</v>
      </c>
      <c r="G2389" s="6" t="s">
        <v>6165</v>
      </c>
      <c r="H2389" s="8" t="s">
        <v>6546</v>
      </c>
      <c r="I2389" s="14">
        <v>45302</v>
      </c>
    </row>
    <row r="2390" spans="1:9" x14ac:dyDescent="0.15">
      <c r="A2390" s="5">
        <v>2389</v>
      </c>
      <c r="B2390" s="6" t="s">
        <v>9</v>
      </c>
      <c r="C2390" s="7">
        <v>1882</v>
      </c>
      <c r="D2390" s="8">
        <v>45388</v>
      </c>
      <c r="E2390" s="9" t="str">
        <f>+HYPERLINK("http://trademark.i-assist.jp/data/china/image_1882th/76336348.pdf","76336348")</f>
        <v>76336348</v>
      </c>
      <c r="F2390" s="6" t="s">
        <v>6547</v>
      </c>
      <c r="G2390" s="6" t="s">
        <v>4476</v>
      </c>
      <c r="H2390" s="8" t="s">
        <v>6548</v>
      </c>
      <c r="I2390" s="14">
        <v>45302</v>
      </c>
    </row>
    <row r="2391" spans="1:9" x14ac:dyDescent="0.15">
      <c r="A2391" s="5">
        <v>2390</v>
      </c>
      <c r="B2391" s="6" t="s">
        <v>9</v>
      </c>
      <c r="C2391" s="7">
        <v>1882</v>
      </c>
      <c r="D2391" s="8">
        <v>45388</v>
      </c>
      <c r="E2391" s="9" t="str">
        <f>+HYPERLINK("http://trademark.i-assist.jp/data/china/image_1882th/76336674.pdf","76336674")</f>
        <v>76336674</v>
      </c>
      <c r="F2391" s="6" t="s">
        <v>6549</v>
      </c>
      <c r="G2391" s="6" t="s">
        <v>6173</v>
      </c>
      <c r="H2391" s="8" t="s">
        <v>6550</v>
      </c>
      <c r="I2391" s="14">
        <v>45302</v>
      </c>
    </row>
    <row r="2392" spans="1:9" x14ac:dyDescent="0.15">
      <c r="A2392" s="5">
        <v>2391</v>
      </c>
      <c r="B2392" s="6" t="s">
        <v>9</v>
      </c>
      <c r="C2392" s="7">
        <v>1882</v>
      </c>
      <c r="D2392" s="8">
        <v>45388</v>
      </c>
      <c r="E2392" s="9" t="str">
        <f>+HYPERLINK("http://trademark.i-assist.jp/data/china/image_1882th/76336746.pdf","76336746")</f>
        <v>76336746</v>
      </c>
      <c r="F2392" s="6" t="s">
        <v>6551</v>
      </c>
      <c r="G2392" s="6" t="s">
        <v>6456</v>
      </c>
      <c r="H2392" s="8" t="s">
        <v>6552</v>
      </c>
      <c r="I2392" s="14">
        <v>45302</v>
      </c>
    </row>
    <row r="2393" spans="1:9" x14ac:dyDescent="0.15">
      <c r="A2393" s="5">
        <v>2392</v>
      </c>
      <c r="B2393" s="6" t="s">
        <v>9</v>
      </c>
      <c r="C2393" s="7">
        <v>1882</v>
      </c>
      <c r="D2393" s="8">
        <v>45388</v>
      </c>
      <c r="E2393" s="9" t="str">
        <f>+HYPERLINK("http://trademark.i-assist.jp/data/china/image_1882th/76337329.pdf","76337329")</f>
        <v>76337329</v>
      </c>
      <c r="F2393" s="6" t="s">
        <v>6553</v>
      </c>
      <c r="G2393" s="6" t="s">
        <v>6554</v>
      </c>
      <c r="H2393" s="8" t="s">
        <v>6555</v>
      </c>
      <c r="I2393" s="14">
        <v>45302</v>
      </c>
    </row>
    <row r="2394" spans="1:9" x14ac:dyDescent="0.15">
      <c r="A2394" s="5">
        <v>2393</v>
      </c>
      <c r="B2394" s="6" t="s">
        <v>9</v>
      </c>
      <c r="C2394" s="7">
        <v>1882</v>
      </c>
      <c r="D2394" s="8">
        <v>45388</v>
      </c>
      <c r="E2394" s="9" t="str">
        <f>+HYPERLINK("http://trademark.i-assist.jp/data/china/image_1882th/76337342.pdf","76337342")</f>
        <v>76337342</v>
      </c>
      <c r="F2394" s="6" t="s">
        <v>6556</v>
      </c>
      <c r="G2394" s="6" t="s">
        <v>6557</v>
      </c>
      <c r="H2394" s="8" t="s">
        <v>6558</v>
      </c>
      <c r="I2394" s="14">
        <v>45302</v>
      </c>
    </row>
    <row r="2395" spans="1:9" x14ac:dyDescent="0.15">
      <c r="A2395" s="5">
        <v>2394</v>
      </c>
      <c r="B2395" s="6" t="s">
        <v>9</v>
      </c>
      <c r="C2395" s="7">
        <v>1882</v>
      </c>
      <c r="D2395" s="8">
        <v>45388</v>
      </c>
      <c r="E2395" s="9" t="str">
        <f>+HYPERLINK("http://trademark.i-assist.jp/data/china/image_1882th/76337470.pdf","76337470")</f>
        <v>76337470</v>
      </c>
      <c r="F2395" s="6" t="s">
        <v>6559</v>
      </c>
      <c r="G2395" s="6" t="s">
        <v>6560</v>
      </c>
      <c r="H2395" s="8" t="s">
        <v>6561</v>
      </c>
      <c r="I2395" s="14">
        <v>45302</v>
      </c>
    </row>
    <row r="2396" spans="1:9" x14ac:dyDescent="0.15">
      <c r="A2396" s="5">
        <v>2395</v>
      </c>
      <c r="B2396" s="6" t="s">
        <v>9</v>
      </c>
      <c r="C2396" s="7">
        <v>1882</v>
      </c>
      <c r="D2396" s="8">
        <v>45388</v>
      </c>
      <c r="E2396" s="9" t="str">
        <f>+HYPERLINK("http://trademark.i-assist.jp/data/china/image_1882th/76337486.pdf","76337486")</f>
        <v>76337486</v>
      </c>
      <c r="F2396" s="6" t="s">
        <v>6562</v>
      </c>
      <c r="G2396" s="6" t="s">
        <v>6563</v>
      </c>
      <c r="H2396" s="8" t="s">
        <v>6564</v>
      </c>
      <c r="I2396" s="14">
        <v>45302</v>
      </c>
    </row>
    <row r="2397" spans="1:9" x14ac:dyDescent="0.15">
      <c r="A2397" s="5">
        <v>2396</v>
      </c>
      <c r="B2397" s="6" t="s">
        <v>9</v>
      </c>
      <c r="C2397" s="7">
        <v>1882</v>
      </c>
      <c r="D2397" s="8">
        <v>45388</v>
      </c>
      <c r="E2397" s="9" t="str">
        <f>+HYPERLINK("http://trademark.i-assist.jp/data/china/image_1882th/76337778.pdf","76337778")</f>
        <v>76337778</v>
      </c>
      <c r="F2397" s="6" t="s">
        <v>6565</v>
      </c>
      <c r="G2397" s="6" t="s">
        <v>6216</v>
      </c>
      <c r="H2397" s="8" t="s">
        <v>6566</v>
      </c>
      <c r="I2397" s="14">
        <v>45302</v>
      </c>
    </row>
    <row r="2398" spans="1:9" x14ac:dyDescent="0.15">
      <c r="A2398" s="5">
        <v>2397</v>
      </c>
      <c r="B2398" s="6" t="s">
        <v>9</v>
      </c>
      <c r="C2398" s="7">
        <v>1882</v>
      </c>
      <c r="D2398" s="8">
        <v>45388</v>
      </c>
      <c r="E2398" s="9" t="str">
        <f>+HYPERLINK("http://trademark.i-assist.jp/data/china/image_1882th/76338949.pdf","76338949")</f>
        <v>76338949</v>
      </c>
      <c r="F2398" s="6" t="s">
        <v>6567</v>
      </c>
      <c r="G2398" s="6" t="s">
        <v>6568</v>
      </c>
      <c r="H2398" s="8" t="s">
        <v>6569</v>
      </c>
      <c r="I2398" s="14">
        <v>45302</v>
      </c>
    </row>
    <row r="2399" spans="1:9" x14ac:dyDescent="0.15">
      <c r="A2399" s="5">
        <v>2398</v>
      </c>
      <c r="B2399" s="6" t="s">
        <v>9</v>
      </c>
      <c r="C2399" s="7">
        <v>1882</v>
      </c>
      <c r="D2399" s="8">
        <v>45388</v>
      </c>
      <c r="E2399" s="9" t="str">
        <f>+HYPERLINK("http://trademark.i-assist.jp/data/china/image_1882th/76339606.pdf","76339606")</f>
        <v>76339606</v>
      </c>
      <c r="F2399" s="6" t="s">
        <v>26</v>
      </c>
      <c r="G2399" s="6" t="s">
        <v>6570</v>
      </c>
      <c r="H2399" s="8" t="s">
        <v>6571</v>
      </c>
      <c r="I2399" s="14">
        <v>45302</v>
      </c>
    </row>
    <row r="2400" spans="1:9" x14ac:dyDescent="0.15">
      <c r="A2400" s="5">
        <v>2399</v>
      </c>
      <c r="B2400" s="6" t="s">
        <v>9</v>
      </c>
      <c r="C2400" s="7">
        <v>1882</v>
      </c>
      <c r="D2400" s="8">
        <v>45388</v>
      </c>
      <c r="E2400" s="9" t="str">
        <f>+HYPERLINK("http://trademark.i-assist.jp/data/china/image_1882th/76339656.pdf","76339656")</f>
        <v>76339656</v>
      </c>
      <c r="F2400" s="6" t="s">
        <v>6572</v>
      </c>
      <c r="G2400" s="6" t="s">
        <v>6573</v>
      </c>
      <c r="H2400" s="8" t="s">
        <v>6574</v>
      </c>
      <c r="I2400" s="14">
        <v>45302</v>
      </c>
    </row>
    <row r="2401" spans="1:9" x14ac:dyDescent="0.15">
      <c r="A2401" s="5">
        <v>2400</v>
      </c>
      <c r="B2401" s="6" t="s">
        <v>9</v>
      </c>
      <c r="C2401" s="7">
        <v>1882</v>
      </c>
      <c r="D2401" s="8">
        <v>45388</v>
      </c>
      <c r="E2401" s="9" t="str">
        <f>+HYPERLINK("http://trademark.i-assist.jp/data/china/image_1882th/76339773.pdf","76339773")</f>
        <v>76339773</v>
      </c>
      <c r="F2401" s="6" t="s">
        <v>6575</v>
      </c>
      <c r="G2401" s="6" t="s">
        <v>6576</v>
      </c>
      <c r="H2401" s="8" t="s">
        <v>6577</v>
      </c>
      <c r="I2401" s="14">
        <v>45302</v>
      </c>
    </row>
    <row r="2402" spans="1:9" x14ac:dyDescent="0.15">
      <c r="A2402" s="5">
        <v>2401</v>
      </c>
      <c r="B2402" s="6" t="s">
        <v>9</v>
      </c>
      <c r="C2402" s="7">
        <v>1882</v>
      </c>
      <c r="D2402" s="8">
        <v>45388</v>
      </c>
      <c r="E2402" s="9" t="str">
        <f>+HYPERLINK("http://trademark.i-assist.jp/data/china/image_1882th/76339950.pdf","76339950")</f>
        <v>76339950</v>
      </c>
      <c r="F2402" s="6" t="s">
        <v>6578</v>
      </c>
      <c r="G2402" s="6" t="s">
        <v>6250</v>
      </c>
      <c r="H2402" s="8" t="s">
        <v>6579</v>
      </c>
      <c r="I2402" s="14">
        <v>45302</v>
      </c>
    </row>
    <row r="2403" spans="1:9" x14ac:dyDescent="0.15">
      <c r="A2403" s="5">
        <v>2402</v>
      </c>
      <c r="B2403" s="6" t="s">
        <v>9</v>
      </c>
      <c r="C2403" s="7">
        <v>1882</v>
      </c>
      <c r="D2403" s="8">
        <v>45388</v>
      </c>
      <c r="E2403" s="9" t="str">
        <f>+HYPERLINK("http://trademark.i-assist.jp/data/china/image_1882th/76340074.pdf","76340074")</f>
        <v>76340074</v>
      </c>
      <c r="F2403" s="6" t="s">
        <v>6580</v>
      </c>
      <c r="G2403" s="6" t="s">
        <v>6581</v>
      </c>
      <c r="H2403" s="8" t="s">
        <v>6582</v>
      </c>
      <c r="I2403" s="14">
        <v>45302</v>
      </c>
    </row>
    <row r="2404" spans="1:9" x14ac:dyDescent="0.15">
      <c r="A2404" s="5">
        <v>2403</v>
      </c>
      <c r="B2404" s="6" t="s">
        <v>9</v>
      </c>
      <c r="C2404" s="7">
        <v>1882</v>
      </c>
      <c r="D2404" s="8">
        <v>45388</v>
      </c>
      <c r="E2404" s="9" t="str">
        <f>+HYPERLINK("http://trademark.i-assist.jp/data/china/image_1882th/76340114.pdf","76340114")</f>
        <v>76340114</v>
      </c>
      <c r="F2404" s="6" t="s">
        <v>6583</v>
      </c>
      <c r="G2404" s="6" t="s">
        <v>6584</v>
      </c>
      <c r="H2404" s="8" t="s">
        <v>6585</v>
      </c>
      <c r="I2404" s="14">
        <v>45302</v>
      </c>
    </row>
    <row r="2405" spans="1:9" x14ac:dyDescent="0.15">
      <c r="A2405" s="5">
        <v>2404</v>
      </c>
      <c r="B2405" s="6" t="s">
        <v>9</v>
      </c>
      <c r="C2405" s="7">
        <v>1882</v>
      </c>
      <c r="D2405" s="8">
        <v>45388</v>
      </c>
      <c r="E2405" s="9" t="str">
        <f>+HYPERLINK("http://trademark.i-assist.jp/data/china/image_1882th/76340168.pdf","76340168")</f>
        <v>76340168</v>
      </c>
      <c r="F2405" s="6" t="s">
        <v>6586</v>
      </c>
      <c r="G2405" s="6" t="s">
        <v>6587</v>
      </c>
      <c r="H2405" s="8" t="s">
        <v>6588</v>
      </c>
      <c r="I2405" s="14">
        <v>45302</v>
      </c>
    </row>
    <row r="2406" spans="1:9" x14ac:dyDescent="0.15">
      <c r="A2406" s="5">
        <v>2405</v>
      </c>
      <c r="B2406" s="6" t="s">
        <v>9</v>
      </c>
      <c r="C2406" s="7">
        <v>1882</v>
      </c>
      <c r="D2406" s="8">
        <v>45388</v>
      </c>
      <c r="E2406" s="9" t="str">
        <f>+HYPERLINK("http://trademark.i-assist.jp/data/china/image_1882th/76340229.pdf","76340229")</f>
        <v>76340229</v>
      </c>
      <c r="F2406" s="6" t="s">
        <v>6589</v>
      </c>
      <c r="G2406" s="6" t="s">
        <v>6590</v>
      </c>
      <c r="H2406" s="8" t="s">
        <v>6591</v>
      </c>
      <c r="I2406" s="14">
        <v>45302</v>
      </c>
    </row>
    <row r="2407" spans="1:9" x14ac:dyDescent="0.15">
      <c r="A2407" s="5">
        <v>2406</v>
      </c>
      <c r="B2407" s="6" t="s">
        <v>9</v>
      </c>
      <c r="C2407" s="7">
        <v>1882</v>
      </c>
      <c r="D2407" s="8">
        <v>45388</v>
      </c>
      <c r="E2407" s="9" t="str">
        <f>+HYPERLINK("http://trademark.i-assist.jp/data/china/image_1882th/76340251.pdf","76340251")</f>
        <v>76340251</v>
      </c>
      <c r="F2407" s="6" t="s">
        <v>6592</v>
      </c>
      <c r="G2407" s="6" t="s">
        <v>6459</v>
      </c>
      <c r="H2407" s="8" t="s">
        <v>6593</v>
      </c>
      <c r="I2407" s="14">
        <v>45302</v>
      </c>
    </row>
    <row r="2408" spans="1:9" x14ac:dyDescent="0.15">
      <c r="A2408" s="5">
        <v>2407</v>
      </c>
      <c r="B2408" s="6" t="s">
        <v>9</v>
      </c>
      <c r="C2408" s="7">
        <v>1882</v>
      </c>
      <c r="D2408" s="8">
        <v>45388</v>
      </c>
      <c r="E2408" s="9" t="str">
        <f>+HYPERLINK("http://trademark.i-assist.jp/data/china/image_1882th/76340326.pdf","76340326")</f>
        <v>76340326</v>
      </c>
      <c r="F2408" s="6" t="s">
        <v>6594</v>
      </c>
      <c r="G2408" s="6" t="s">
        <v>6470</v>
      </c>
      <c r="H2408" s="8" t="s">
        <v>6595</v>
      </c>
      <c r="I2408" s="14">
        <v>45302</v>
      </c>
    </row>
    <row r="2409" spans="1:9" x14ac:dyDescent="0.15">
      <c r="A2409" s="5">
        <v>2408</v>
      </c>
      <c r="B2409" s="6" t="s">
        <v>9</v>
      </c>
      <c r="C2409" s="7">
        <v>1882</v>
      </c>
      <c r="D2409" s="8">
        <v>45388</v>
      </c>
      <c r="E2409" s="9" t="str">
        <f>+HYPERLINK("http://trademark.i-assist.jp/data/china/image_1882th/76340358.pdf","76340358")</f>
        <v>76340358</v>
      </c>
      <c r="F2409" s="6" t="s">
        <v>6596</v>
      </c>
      <c r="G2409" s="6" t="s">
        <v>6597</v>
      </c>
      <c r="H2409" s="8" t="s">
        <v>6598</v>
      </c>
      <c r="I2409" s="14">
        <v>45302</v>
      </c>
    </row>
    <row r="2410" spans="1:9" x14ac:dyDescent="0.15">
      <c r="A2410" s="5">
        <v>2409</v>
      </c>
      <c r="B2410" s="6" t="s">
        <v>9</v>
      </c>
      <c r="C2410" s="7">
        <v>1882</v>
      </c>
      <c r="D2410" s="8">
        <v>45388</v>
      </c>
      <c r="E2410" s="9" t="str">
        <f>+HYPERLINK("http://trademark.i-assist.jp/data/china/image_1882th/76340369.pdf","76340369")</f>
        <v>76340369</v>
      </c>
      <c r="F2410" s="6" t="s">
        <v>6599</v>
      </c>
      <c r="G2410" s="6" t="s">
        <v>6173</v>
      </c>
      <c r="H2410" s="8" t="s">
        <v>6600</v>
      </c>
      <c r="I2410" s="14">
        <v>45302</v>
      </c>
    </row>
    <row r="2411" spans="1:9" x14ac:dyDescent="0.15">
      <c r="A2411" s="5">
        <v>2410</v>
      </c>
      <c r="B2411" s="6" t="s">
        <v>9</v>
      </c>
      <c r="C2411" s="7">
        <v>1882</v>
      </c>
      <c r="D2411" s="8">
        <v>45388</v>
      </c>
      <c r="E2411" s="9" t="str">
        <f>+HYPERLINK("http://trademark.i-assist.jp/data/china/image_1882th/76340595.pdf","76340595")</f>
        <v>76340595</v>
      </c>
      <c r="F2411" s="6" t="s">
        <v>6601</v>
      </c>
      <c r="G2411" s="6" t="s">
        <v>6162</v>
      </c>
      <c r="H2411" s="8" t="s">
        <v>6602</v>
      </c>
      <c r="I2411" s="14">
        <v>45302</v>
      </c>
    </row>
    <row r="2412" spans="1:9" x14ac:dyDescent="0.15">
      <c r="A2412" s="5">
        <v>2411</v>
      </c>
      <c r="B2412" s="6" t="s">
        <v>9</v>
      </c>
      <c r="C2412" s="7">
        <v>1882</v>
      </c>
      <c r="D2412" s="8">
        <v>45388</v>
      </c>
      <c r="E2412" s="9" t="str">
        <f>+HYPERLINK("http://trademark.i-assist.jp/data/china/image_1882th/76340867.pdf","76340867")</f>
        <v>76340867</v>
      </c>
      <c r="F2412" s="6" t="s">
        <v>6603</v>
      </c>
      <c r="G2412" s="6" t="s">
        <v>6530</v>
      </c>
      <c r="H2412" s="8" t="s">
        <v>6604</v>
      </c>
      <c r="I2412" s="14">
        <v>45302</v>
      </c>
    </row>
    <row r="2413" spans="1:9" x14ac:dyDescent="0.15">
      <c r="A2413" s="5">
        <v>2412</v>
      </c>
      <c r="B2413" s="6" t="s">
        <v>9</v>
      </c>
      <c r="C2413" s="7">
        <v>1882</v>
      </c>
      <c r="D2413" s="8">
        <v>45388</v>
      </c>
      <c r="E2413" s="9" t="str">
        <f>+HYPERLINK("http://trademark.i-assist.jp/data/china/image_1882th/76341132.pdf","76341132")</f>
        <v>76341132</v>
      </c>
      <c r="F2413" s="6" t="s">
        <v>6605</v>
      </c>
      <c r="G2413" s="6" t="s">
        <v>6224</v>
      </c>
      <c r="H2413" s="8" t="s">
        <v>6606</v>
      </c>
      <c r="I2413" s="14">
        <v>45302</v>
      </c>
    </row>
    <row r="2414" spans="1:9" x14ac:dyDescent="0.15">
      <c r="A2414" s="5">
        <v>2413</v>
      </c>
      <c r="B2414" s="6" t="s">
        <v>9</v>
      </c>
      <c r="C2414" s="7">
        <v>1882</v>
      </c>
      <c r="D2414" s="8">
        <v>45388</v>
      </c>
      <c r="E2414" s="9" t="str">
        <f>+HYPERLINK("http://trademark.i-assist.jp/data/china/image_1882th/76341714.pdf","76341714")</f>
        <v>76341714</v>
      </c>
      <c r="F2414" s="6" t="s">
        <v>6547</v>
      </c>
      <c r="G2414" s="6" t="s">
        <v>4476</v>
      </c>
      <c r="H2414" s="8" t="s">
        <v>6607</v>
      </c>
      <c r="I2414" s="14">
        <v>45302</v>
      </c>
    </row>
    <row r="2415" spans="1:9" x14ac:dyDescent="0.15">
      <c r="A2415" s="5">
        <v>2414</v>
      </c>
      <c r="B2415" s="6" t="s">
        <v>9</v>
      </c>
      <c r="C2415" s="7">
        <v>1882</v>
      </c>
      <c r="D2415" s="8">
        <v>45388</v>
      </c>
      <c r="E2415" s="9" t="str">
        <f>+HYPERLINK("http://trademark.i-assist.jp/data/china/image_1882th/76341914.pdf","76341914")</f>
        <v>76341914</v>
      </c>
      <c r="F2415" s="6" t="s">
        <v>6608</v>
      </c>
      <c r="G2415" s="6" t="s">
        <v>6609</v>
      </c>
      <c r="H2415" s="8" t="s">
        <v>6610</v>
      </c>
      <c r="I2415" s="14">
        <v>45302</v>
      </c>
    </row>
    <row r="2416" spans="1:9" x14ac:dyDescent="0.15">
      <c r="A2416" s="5">
        <v>2415</v>
      </c>
      <c r="B2416" s="6" t="s">
        <v>9</v>
      </c>
      <c r="C2416" s="7">
        <v>1882</v>
      </c>
      <c r="D2416" s="8">
        <v>45388</v>
      </c>
      <c r="E2416" s="9" t="str">
        <f>+HYPERLINK("http://trademark.i-assist.jp/data/china/image_1882th/76341936.pdf","76341936")</f>
        <v>76341936</v>
      </c>
      <c r="F2416" s="6" t="s">
        <v>6611</v>
      </c>
      <c r="G2416" s="6" t="s">
        <v>5499</v>
      </c>
      <c r="H2416" s="8" t="s">
        <v>6612</v>
      </c>
      <c r="I2416" s="14">
        <v>45301</v>
      </c>
    </row>
    <row r="2417" spans="1:9" x14ac:dyDescent="0.15">
      <c r="A2417" s="5">
        <v>2416</v>
      </c>
      <c r="B2417" s="6" t="s">
        <v>9</v>
      </c>
      <c r="C2417" s="7">
        <v>1882</v>
      </c>
      <c r="D2417" s="8">
        <v>45388</v>
      </c>
      <c r="E2417" s="9" t="str">
        <f>+HYPERLINK("http://trademark.i-assist.jp/data/china/image_1882th/76341990.pdf","76341990")</f>
        <v>76341990</v>
      </c>
      <c r="F2417" s="6" t="s">
        <v>5606</v>
      </c>
      <c r="G2417" s="6" t="s">
        <v>5607</v>
      </c>
      <c r="H2417" s="8" t="s">
        <v>6613</v>
      </c>
      <c r="I2417" s="14">
        <v>45301</v>
      </c>
    </row>
    <row r="2418" spans="1:9" x14ac:dyDescent="0.15">
      <c r="A2418" s="5">
        <v>2417</v>
      </c>
      <c r="B2418" s="6" t="s">
        <v>9</v>
      </c>
      <c r="C2418" s="7">
        <v>1882</v>
      </c>
      <c r="D2418" s="8">
        <v>45388</v>
      </c>
      <c r="E2418" s="9" t="str">
        <f>+HYPERLINK("http://trademark.i-assist.jp/data/china/image_1882th/76342032.pdf","76342032")</f>
        <v>76342032</v>
      </c>
      <c r="F2418" s="6" t="s">
        <v>6614</v>
      </c>
      <c r="G2418" s="6" t="s">
        <v>6165</v>
      </c>
      <c r="H2418" s="8" t="s">
        <v>6615</v>
      </c>
      <c r="I2418" s="14">
        <v>45302</v>
      </c>
    </row>
    <row r="2419" spans="1:9" x14ac:dyDescent="0.15">
      <c r="A2419" s="5">
        <v>2418</v>
      </c>
      <c r="B2419" s="6" t="s">
        <v>9</v>
      </c>
      <c r="C2419" s="7">
        <v>1882</v>
      </c>
      <c r="D2419" s="8">
        <v>45388</v>
      </c>
      <c r="E2419" s="9" t="str">
        <f>+HYPERLINK("http://trademark.i-assist.jp/data/china/image_1882th/76342185.pdf","76342185")</f>
        <v>76342185</v>
      </c>
      <c r="F2419" s="6" t="s">
        <v>6616</v>
      </c>
      <c r="G2419" s="6" t="s">
        <v>6617</v>
      </c>
      <c r="H2419" s="8" t="s">
        <v>6618</v>
      </c>
      <c r="I2419" s="14">
        <v>45302</v>
      </c>
    </row>
    <row r="2420" spans="1:9" x14ac:dyDescent="0.15">
      <c r="A2420" s="5">
        <v>2419</v>
      </c>
      <c r="B2420" s="6" t="s">
        <v>9</v>
      </c>
      <c r="C2420" s="7">
        <v>1882</v>
      </c>
      <c r="D2420" s="8">
        <v>45388</v>
      </c>
      <c r="E2420" s="9" t="str">
        <f>+HYPERLINK("http://trademark.i-assist.jp/data/china/image_1882th/76343030.pdf","76343030")</f>
        <v>76343030</v>
      </c>
      <c r="F2420" s="6" t="s">
        <v>6619</v>
      </c>
      <c r="G2420" s="6" t="s">
        <v>6620</v>
      </c>
      <c r="H2420" s="8" t="s">
        <v>6621</v>
      </c>
      <c r="I2420" s="14">
        <v>45302</v>
      </c>
    </row>
    <row r="2421" spans="1:9" x14ac:dyDescent="0.15">
      <c r="A2421" s="5">
        <v>2420</v>
      </c>
      <c r="B2421" s="6" t="s">
        <v>9</v>
      </c>
      <c r="C2421" s="7">
        <v>1882</v>
      </c>
      <c r="D2421" s="8">
        <v>45388</v>
      </c>
      <c r="E2421" s="9" t="str">
        <f>+HYPERLINK("http://trademark.i-assist.jp/data/china/image_1882th/76343262.pdf","76343262")</f>
        <v>76343262</v>
      </c>
      <c r="F2421" s="6" t="s">
        <v>6622</v>
      </c>
      <c r="G2421" s="6" t="s">
        <v>6448</v>
      </c>
      <c r="H2421" s="8" t="s">
        <v>6623</v>
      </c>
      <c r="I2421" s="14">
        <v>45302</v>
      </c>
    </row>
    <row r="2422" spans="1:9" x14ac:dyDescent="0.15">
      <c r="A2422" s="5">
        <v>2421</v>
      </c>
      <c r="B2422" s="6" t="s">
        <v>9</v>
      </c>
      <c r="C2422" s="7">
        <v>1882</v>
      </c>
      <c r="D2422" s="8">
        <v>45388</v>
      </c>
      <c r="E2422" s="9" t="str">
        <f>+HYPERLINK("http://trademark.i-assist.jp/data/china/image_1882th/76343360.pdf","76343360")</f>
        <v>76343360</v>
      </c>
      <c r="F2422" s="6" t="s">
        <v>6624</v>
      </c>
      <c r="G2422" s="6" t="s">
        <v>6625</v>
      </c>
      <c r="H2422" s="8" t="s">
        <v>6626</v>
      </c>
      <c r="I2422" s="14">
        <v>45301</v>
      </c>
    </row>
    <row r="2423" spans="1:9" x14ac:dyDescent="0.15">
      <c r="A2423" s="5">
        <v>2422</v>
      </c>
      <c r="B2423" s="6" t="s">
        <v>9</v>
      </c>
      <c r="C2423" s="7">
        <v>1882</v>
      </c>
      <c r="D2423" s="8">
        <v>45388</v>
      </c>
      <c r="E2423" s="9" t="str">
        <f>+HYPERLINK("http://trademark.i-assist.jp/data/china/image_1882th/76343712.pdf","76343712")</f>
        <v>76343712</v>
      </c>
      <c r="F2423" s="6" t="s">
        <v>6627</v>
      </c>
      <c r="G2423" s="6" t="s">
        <v>6628</v>
      </c>
      <c r="H2423" s="8" t="s">
        <v>6629</v>
      </c>
      <c r="I2423" s="14">
        <v>45302</v>
      </c>
    </row>
    <row r="2424" spans="1:9" x14ac:dyDescent="0.15">
      <c r="A2424" s="5">
        <v>2423</v>
      </c>
      <c r="B2424" s="6" t="s">
        <v>9</v>
      </c>
      <c r="C2424" s="7">
        <v>1882</v>
      </c>
      <c r="D2424" s="8">
        <v>45388</v>
      </c>
      <c r="E2424" s="9" t="str">
        <f>+HYPERLINK("http://trademark.i-assist.jp/data/china/image_1882th/76344090.pdf","76344090")</f>
        <v>76344090</v>
      </c>
      <c r="F2424" s="6" t="s">
        <v>6630</v>
      </c>
      <c r="G2424" s="6" t="s">
        <v>6631</v>
      </c>
      <c r="H2424" s="8" t="s">
        <v>6632</v>
      </c>
      <c r="I2424" s="14">
        <v>45303</v>
      </c>
    </row>
    <row r="2425" spans="1:9" x14ac:dyDescent="0.15">
      <c r="A2425" s="5">
        <v>2424</v>
      </c>
      <c r="B2425" s="6" t="s">
        <v>9</v>
      </c>
      <c r="C2425" s="7">
        <v>1882</v>
      </c>
      <c r="D2425" s="8">
        <v>45388</v>
      </c>
      <c r="E2425" s="9" t="str">
        <f>+HYPERLINK("http://trademark.i-assist.jp/data/china/image_1882th/76344372.pdf","76344372")</f>
        <v>76344372</v>
      </c>
      <c r="F2425" s="6" t="s">
        <v>6633</v>
      </c>
      <c r="G2425" s="6" t="s">
        <v>6634</v>
      </c>
      <c r="H2425" s="8" t="s">
        <v>6635</v>
      </c>
      <c r="I2425" s="14">
        <v>45303</v>
      </c>
    </row>
    <row r="2426" spans="1:9" x14ac:dyDescent="0.15">
      <c r="A2426" s="5">
        <v>2425</v>
      </c>
      <c r="B2426" s="6" t="s">
        <v>9</v>
      </c>
      <c r="C2426" s="7">
        <v>1882</v>
      </c>
      <c r="D2426" s="8">
        <v>45388</v>
      </c>
      <c r="E2426" s="9" t="str">
        <f>+HYPERLINK("http://trademark.i-assist.jp/data/china/image_1882th/76344509.pdf","76344509")</f>
        <v>76344509</v>
      </c>
      <c r="F2426" s="6" t="s">
        <v>6636</v>
      </c>
      <c r="G2426" s="6" t="s">
        <v>6637</v>
      </c>
      <c r="H2426" s="8" t="s">
        <v>6638</v>
      </c>
      <c r="I2426" s="14">
        <v>45303</v>
      </c>
    </row>
    <row r="2427" spans="1:9" x14ac:dyDescent="0.15">
      <c r="A2427" s="5">
        <v>2426</v>
      </c>
      <c r="B2427" s="6" t="s">
        <v>9</v>
      </c>
      <c r="C2427" s="7">
        <v>1882</v>
      </c>
      <c r="D2427" s="8">
        <v>45388</v>
      </c>
      <c r="E2427" s="9" t="str">
        <f>+HYPERLINK("http://trademark.i-assist.jp/data/china/image_1882th/76344510.pdf","76344510")</f>
        <v>76344510</v>
      </c>
      <c r="F2427" s="6" t="s">
        <v>6639</v>
      </c>
      <c r="G2427" s="6" t="s">
        <v>6640</v>
      </c>
      <c r="H2427" s="8" t="s">
        <v>6641</v>
      </c>
      <c r="I2427" s="14">
        <v>45303</v>
      </c>
    </row>
    <row r="2428" spans="1:9" x14ac:dyDescent="0.15">
      <c r="A2428" s="5">
        <v>2427</v>
      </c>
      <c r="B2428" s="6" t="s">
        <v>9</v>
      </c>
      <c r="C2428" s="7">
        <v>1882</v>
      </c>
      <c r="D2428" s="8">
        <v>45388</v>
      </c>
      <c r="E2428" s="9" t="str">
        <f>+HYPERLINK("http://trademark.i-assist.jp/data/china/image_1882th/76344785.pdf","76344785")</f>
        <v>76344785</v>
      </c>
      <c r="F2428" s="6" t="s">
        <v>6642</v>
      </c>
      <c r="G2428" s="6" t="s">
        <v>6643</v>
      </c>
      <c r="H2428" s="8" t="s">
        <v>6644</v>
      </c>
      <c r="I2428" s="14">
        <v>45303</v>
      </c>
    </row>
    <row r="2429" spans="1:9" x14ac:dyDescent="0.15">
      <c r="A2429" s="5">
        <v>2428</v>
      </c>
      <c r="B2429" s="6" t="s">
        <v>9</v>
      </c>
      <c r="C2429" s="7">
        <v>1882</v>
      </c>
      <c r="D2429" s="8">
        <v>45388</v>
      </c>
      <c r="E2429" s="9" t="str">
        <f>+HYPERLINK("http://trademark.i-assist.jp/data/china/image_1882th/76344804.pdf","76344804")</f>
        <v>76344804</v>
      </c>
      <c r="F2429" s="6" t="s">
        <v>6645</v>
      </c>
      <c r="G2429" s="6" t="s">
        <v>6646</v>
      </c>
      <c r="H2429" s="8" t="s">
        <v>6647</v>
      </c>
      <c r="I2429" s="14">
        <v>45303</v>
      </c>
    </row>
    <row r="2430" spans="1:9" x14ac:dyDescent="0.15">
      <c r="A2430" s="5">
        <v>2429</v>
      </c>
      <c r="B2430" s="6" t="s">
        <v>9</v>
      </c>
      <c r="C2430" s="7">
        <v>1882</v>
      </c>
      <c r="D2430" s="8">
        <v>45388</v>
      </c>
      <c r="E2430" s="9" t="str">
        <f>+HYPERLINK("http://trademark.i-assist.jp/data/china/image_1882th/76344842.pdf","76344842")</f>
        <v>76344842</v>
      </c>
      <c r="F2430" s="6" t="s">
        <v>6648</v>
      </c>
      <c r="G2430" s="6" t="s">
        <v>6649</v>
      </c>
      <c r="H2430" s="8" t="s">
        <v>6650</v>
      </c>
      <c r="I2430" s="14">
        <v>45303</v>
      </c>
    </row>
    <row r="2431" spans="1:9" x14ac:dyDescent="0.15">
      <c r="A2431" s="5">
        <v>2430</v>
      </c>
      <c r="B2431" s="6" t="s">
        <v>9</v>
      </c>
      <c r="C2431" s="7">
        <v>1882</v>
      </c>
      <c r="D2431" s="8">
        <v>45388</v>
      </c>
      <c r="E2431" s="9" t="str">
        <f>+HYPERLINK("http://trademark.i-assist.jp/data/china/image_1882th/76344941.pdf","76344941")</f>
        <v>76344941</v>
      </c>
      <c r="F2431" s="6" t="s">
        <v>6651</v>
      </c>
      <c r="G2431" s="6" t="s">
        <v>6652</v>
      </c>
      <c r="H2431" s="8" t="s">
        <v>6653</v>
      </c>
      <c r="I2431" s="14">
        <v>45303</v>
      </c>
    </row>
    <row r="2432" spans="1:9" x14ac:dyDescent="0.15">
      <c r="A2432" s="5">
        <v>2431</v>
      </c>
      <c r="B2432" s="6" t="s">
        <v>9</v>
      </c>
      <c r="C2432" s="7">
        <v>1882</v>
      </c>
      <c r="D2432" s="8">
        <v>45388</v>
      </c>
      <c r="E2432" s="9" t="str">
        <f>+HYPERLINK("http://trademark.i-assist.jp/data/china/image_1882th/76345029.pdf","76345029")</f>
        <v>76345029</v>
      </c>
      <c r="F2432" s="6" t="s">
        <v>6654</v>
      </c>
      <c r="G2432" s="6" t="s">
        <v>3283</v>
      </c>
      <c r="H2432" s="8" t="s">
        <v>6655</v>
      </c>
      <c r="I2432" s="14">
        <v>45303</v>
      </c>
    </row>
    <row r="2433" spans="1:9" x14ac:dyDescent="0.15">
      <c r="A2433" s="5">
        <v>2432</v>
      </c>
      <c r="B2433" s="6" t="s">
        <v>9</v>
      </c>
      <c r="C2433" s="7">
        <v>1882</v>
      </c>
      <c r="D2433" s="8">
        <v>45388</v>
      </c>
      <c r="E2433" s="9" t="str">
        <f>+HYPERLINK("http://trademark.i-assist.jp/data/china/image_1882th/76345089.pdf","76345089")</f>
        <v>76345089</v>
      </c>
      <c r="F2433" s="6" t="s">
        <v>6656</v>
      </c>
      <c r="G2433" s="6" t="s">
        <v>6657</v>
      </c>
      <c r="H2433" s="8" t="s">
        <v>6658</v>
      </c>
      <c r="I2433" s="14">
        <v>45303</v>
      </c>
    </row>
    <row r="2434" spans="1:9" x14ac:dyDescent="0.15">
      <c r="A2434" s="5">
        <v>2433</v>
      </c>
      <c r="B2434" s="6" t="s">
        <v>9</v>
      </c>
      <c r="C2434" s="7">
        <v>1882</v>
      </c>
      <c r="D2434" s="8">
        <v>45388</v>
      </c>
      <c r="E2434" s="9" t="str">
        <f>+HYPERLINK("http://trademark.i-assist.jp/data/china/image_1882th/76345151.pdf","76345151")</f>
        <v>76345151</v>
      </c>
      <c r="F2434" s="6" t="s">
        <v>6659</v>
      </c>
      <c r="G2434" s="6" t="s">
        <v>6660</v>
      </c>
      <c r="H2434" s="8" t="s">
        <v>6661</v>
      </c>
      <c r="I2434" s="14">
        <v>45303</v>
      </c>
    </row>
    <row r="2435" spans="1:9" x14ac:dyDescent="0.15">
      <c r="A2435" s="5">
        <v>2434</v>
      </c>
      <c r="B2435" s="6" t="s">
        <v>9</v>
      </c>
      <c r="C2435" s="7">
        <v>1882</v>
      </c>
      <c r="D2435" s="8">
        <v>45388</v>
      </c>
      <c r="E2435" s="9" t="str">
        <f>+HYPERLINK("http://trademark.i-assist.jp/data/china/image_1882th/76345190.pdf","76345190")</f>
        <v>76345190</v>
      </c>
      <c r="F2435" s="6" t="s">
        <v>6662</v>
      </c>
      <c r="G2435" s="6" t="s">
        <v>6663</v>
      </c>
      <c r="H2435" s="8" t="s">
        <v>6664</v>
      </c>
      <c r="I2435" s="14">
        <v>45303</v>
      </c>
    </row>
    <row r="2436" spans="1:9" x14ac:dyDescent="0.15">
      <c r="A2436" s="5">
        <v>2435</v>
      </c>
      <c r="B2436" s="6" t="s">
        <v>9</v>
      </c>
      <c r="C2436" s="7">
        <v>1882</v>
      </c>
      <c r="D2436" s="8">
        <v>45388</v>
      </c>
      <c r="E2436" s="9" t="str">
        <f>+HYPERLINK("http://trademark.i-assist.jp/data/china/image_1882th/76345221.pdf","76345221")</f>
        <v>76345221</v>
      </c>
      <c r="F2436" s="6" t="s">
        <v>6665</v>
      </c>
      <c r="G2436" s="6" t="s">
        <v>56</v>
      </c>
      <c r="H2436" s="8" t="s">
        <v>6666</v>
      </c>
      <c r="I2436" s="14">
        <v>45303</v>
      </c>
    </row>
    <row r="2437" spans="1:9" x14ac:dyDescent="0.15">
      <c r="A2437" s="5">
        <v>2436</v>
      </c>
      <c r="B2437" s="6" t="s">
        <v>9</v>
      </c>
      <c r="C2437" s="7">
        <v>1882</v>
      </c>
      <c r="D2437" s="8">
        <v>45388</v>
      </c>
      <c r="E2437" s="9" t="str">
        <f>+HYPERLINK("http://trademark.i-assist.jp/data/china/image_1882th/76345336.pdf","76345336")</f>
        <v>76345336</v>
      </c>
      <c r="F2437" s="6" t="s">
        <v>6667</v>
      </c>
      <c r="G2437" s="6" t="s">
        <v>6668</v>
      </c>
      <c r="H2437" s="8" t="s">
        <v>6669</v>
      </c>
      <c r="I2437" s="14">
        <v>45303</v>
      </c>
    </row>
    <row r="2438" spans="1:9" x14ac:dyDescent="0.15">
      <c r="A2438" s="5">
        <v>2437</v>
      </c>
      <c r="B2438" s="6" t="s">
        <v>9</v>
      </c>
      <c r="C2438" s="7">
        <v>1882</v>
      </c>
      <c r="D2438" s="8">
        <v>45388</v>
      </c>
      <c r="E2438" s="9" t="str">
        <f>+HYPERLINK("http://trademark.i-assist.jp/data/china/image_1882th/76345339.pdf","76345339")</f>
        <v>76345339</v>
      </c>
      <c r="F2438" s="6" t="s">
        <v>6670</v>
      </c>
      <c r="G2438" s="6" t="s">
        <v>6671</v>
      </c>
      <c r="H2438" s="8" t="s">
        <v>6672</v>
      </c>
      <c r="I2438" s="14">
        <v>45303</v>
      </c>
    </row>
    <row r="2439" spans="1:9" x14ac:dyDescent="0.15">
      <c r="A2439" s="5">
        <v>2438</v>
      </c>
      <c r="B2439" s="6" t="s">
        <v>9</v>
      </c>
      <c r="C2439" s="7">
        <v>1882</v>
      </c>
      <c r="D2439" s="8">
        <v>45388</v>
      </c>
      <c r="E2439" s="9" t="str">
        <f>+HYPERLINK("http://trademark.i-assist.jp/data/china/image_1882th/76345368.pdf","76345368")</f>
        <v>76345368</v>
      </c>
      <c r="F2439" s="6" t="s">
        <v>6673</v>
      </c>
      <c r="G2439" s="6" t="s">
        <v>6674</v>
      </c>
      <c r="H2439" s="8" t="s">
        <v>6675</v>
      </c>
      <c r="I2439" s="14">
        <v>45303</v>
      </c>
    </row>
    <row r="2440" spans="1:9" x14ac:dyDescent="0.15">
      <c r="A2440" s="5">
        <v>2439</v>
      </c>
      <c r="B2440" s="6" t="s">
        <v>9</v>
      </c>
      <c r="C2440" s="7">
        <v>1882</v>
      </c>
      <c r="D2440" s="8">
        <v>45388</v>
      </c>
      <c r="E2440" s="9" t="str">
        <f>+HYPERLINK("http://trademark.i-assist.jp/data/china/image_1882th/76345489.pdf","76345489")</f>
        <v>76345489</v>
      </c>
      <c r="F2440" s="6" t="s">
        <v>6676</v>
      </c>
      <c r="G2440" s="6" t="s">
        <v>6677</v>
      </c>
      <c r="H2440" s="8" t="s">
        <v>6678</v>
      </c>
      <c r="I2440" s="14">
        <v>45303</v>
      </c>
    </row>
    <row r="2441" spans="1:9" x14ac:dyDescent="0.15">
      <c r="A2441" s="5">
        <v>2440</v>
      </c>
      <c r="B2441" s="6" t="s">
        <v>9</v>
      </c>
      <c r="C2441" s="7">
        <v>1882</v>
      </c>
      <c r="D2441" s="8">
        <v>45388</v>
      </c>
      <c r="E2441" s="9" t="str">
        <f>+HYPERLINK("http://trademark.i-assist.jp/data/china/image_1882th/76345570.pdf","76345570")</f>
        <v>76345570</v>
      </c>
      <c r="F2441" s="6" t="s">
        <v>6679</v>
      </c>
      <c r="G2441" s="6" t="s">
        <v>6680</v>
      </c>
      <c r="H2441" s="8" t="s">
        <v>6681</v>
      </c>
      <c r="I2441" s="14">
        <v>45303</v>
      </c>
    </row>
    <row r="2442" spans="1:9" x14ac:dyDescent="0.15">
      <c r="A2442" s="5">
        <v>2441</v>
      </c>
      <c r="B2442" s="6" t="s">
        <v>9</v>
      </c>
      <c r="C2442" s="7">
        <v>1882</v>
      </c>
      <c r="D2442" s="8">
        <v>45388</v>
      </c>
      <c r="E2442" s="9" t="str">
        <f>+HYPERLINK("http://trademark.i-assist.jp/data/china/image_1882th/76345789.pdf","76345789")</f>
        <v>76345789</v>
      </c>
      <c r="F2442" s="6" t="s">
        <v>6682</v>
      </c>
      <c r="G2442" s="6" t="s">
        <v>6683</v>
      </c>
      <c r="H2442" s="8" t="s">
        <v>6684</v>
      </c>
      <c r="I2442" s="14">
        <v>45303</v>
      </c>
    </row>
    <row r="2443" spans="1:9" x14ac:dyDescent="0.15">
      <c r="A2443" s="5">
        <v>2442</v>
      </c>
      <c r="B2443" s="6" t="s">
        <v>9</v>
      </c>
      <c r="C2443" s="7">
        <v>1882</v>
      </c>
      <c r="D2443" s="8">
        <v>45388</v>
      </c>
      <c r="E2443" s="9" t="str">
        <f>+HYPERLINK("http://trademark.i-assist.jp/data/china/image_1882th/76345797.pdf","76345797")</f>
        <v>76345797</v>
      </c>
      <c r="F2443" s="6" t="s">
        <v>6685</v>
      </c>
      <c r="G2443" s="6" t="s">
        <v>6686</v>
      </c>
      <c r="H2443" s="8" t="s">
        <v>6687</v>
      </c>
      <c r="I2443" s="14">
        <v>45303</v>
      </c>
    </row>
    <row r="2444" spans="1:9" x14ac:dyDescent="0.15">
      <c r="A2444" s="5">
        <v>2443</v>
      </c>
      <c r="B2444" s="6" t="s">
        <v>9</v>
      </c>
      <c r="C2444" s="7">
        <v>1882</v>
      </c>
      <c r="D2444" s="8">
        <v>45388</v>
      </c>
      <c r="E2444" s="9" t="str">
        <f>+HYPERLINK("http://trademark.i-assist.jp/data/china/image_1882th/76345807.pdf","76345807")</f>
        <v>76345807</v>
      </c>
      <c r="F2444" s="6" t="s">
        <v>6688</v>
      </c>
      <c r="G2444" s="6" t="s">
        <v>6689</v>
      </c>
      <c r="H2444" s="8" t="s">
        <v>6690</v>
      </c>
      <c r="I2444" s="14">
        <v>45303</v>
      </c>
    </row>
    <row r="2445" spans="1:9" x14ac:dyDescent="0.15">
      <c r="A2445" s="5">
        <v>2444</v>
      </c>
      <c r="B2445" s="6" t="s">
        <v>9</v>
      </c>
      <c r="C2445" s="7">
        <v>1882</v>
      </c>
      <c r="D2445" s="8">
        <v>45388</v>
      </c>
      <c r="E2445" s="9" t="str">
        <f>+HYPERLINK("http://trademark.i-assist.jp/data/china/image_1882th/76345839.pdf","76345839")</f>
        <v>76345839</v>
      </c>
      <c r="F2445" s="6" t="s">
        <v>6691</v>
      </c>
      <c r="G2445" s="6" t="s">
        <v>6692</v>
      </c>
      <c r="H2445" s="8" t="s">
        <v>6693</v>
      </c>
      <c r="I2445" s="14">
        <v>45303</v>
      </c>
    </row>
    <row r="2446" spans="1:9" x14ac:dyDescent="0.15">
      <c r="A2446" s="5">
        <v>2445</v>
      </c>
      <c r="B2446" s="6" t="s">
        <v>9</v>
      </c>
      <c r="C2446" s="7">
        <v>1882</v>
      </c>
      <c r="D2446" s="8">
        <v>45388</v>
      </c>
      <c r="E2446" s="9" t="str">
        <f>+HYPERLINK("http://trademark.i-assist.jp/data/china/image_1882th/76345857.pdf","76345857")</f>
        <v>76345857</v>
      </c>
      <c r="F2446" s="6" t="s">
        <v>6694</v>
      </c>
      <c r="G2446" s="6" t="s">
        <v>6695</v>
      </c>
      <c r="H2446" s="8" t="s">
        <v>6696</v>
      </c>
      <c r="I2446" s="14">
        <v>45303</v>
      </c>
    </row>
    <row r="2447" spans="1:9" x14ac:dyDescent="0.15">
      <c r="A2447" s="5">
        <v>2446</v>
      </c>
      <c r="B2447" s="6" t="s">
        <v>9</v>
      </c>
      <c r="C2447" s="7">
        <v>1882</v>
      </c>
      <c r="D2447" s="8">
        <v>45388</v>
      </c>
      <c r="E2447" s="9" t="str">
        <f>+HYPERLINK("http://trademark.i-assist.jp/data/china/image_1882th/76345934.pdf","76345934")</f>
        <v>76345934</v>
      </c>
      <c r="F2447" s="6" t="s">
        <v>6697</v>
      </c>
      <c r="G2447" s="6" t="s">
        <v>2691</v>
      </c>
      <c r="H2447" s="8" t="s">
        <v>6698</v>
      </c>
      <c r="I2447" s="14">
        <v>45303</v>
      </c>
    </row>
    <row r="2448" spans="1:9" x14ac:dyDescent="0.15">
      <c r="A2448" s="5">
        <v>2447</v>
      </c>
      <c r="B2448" s="6" t="s">
        <v>9</v>
      </c>
      <c r="C2448" s="7">
        <v>1882</v>
      </c>
      <c r="D2448" s="8">
        <v>45388</v>
      </c>
      <c r="E2448" s="9" t="str">
        <f>+HYPERLINK("http://trademark.i-assist.jp/data/china/image_1882th/76346640.pdf","76346640")</f>
        <v>76346640</v>
      </c>
      <c r="F2448" s="6" t="s">
        <v>6699</v>
      </c>
      <c r="G2448" s="6" t="s">
        <v>6700</v>
      </c>
      <c r="H2448" s="8" t="s">
        <v>6701</v>
      </c>
      <c r="I2448" s="14">
        <v>45303</v>
      </c>
    </row>
    <row r="2449" spans="1:9" x14ac:dyDescent="0.15">
      <c r="A2449" s="5">
        <v>2448</v>
      </c>
      <c r="B2449" s="6" t="s">
        <v>9</v>
      </c>
      <c r="C2449" s="7">
        <v>1882</v>
      </c>
      <c r="D2449" s="8">
        <v>45388</v>
      </c>
      <c r="E2449" s="9" t="str">
        <f>+HYPERLINK("http://trademark.i-assist.jp/data/china/image_1882th/76346937.pdf","76346937")</f>
        <v>76346937</v>
      </c>
      <c r="F2449" s="6" t="s">
        <v>6702</v>
      </c>
      <c r="G2449" s="6" t="s">
        <v>6703</v>
      </c>
      <c r="H2449" s="8" t="s">
        <v>6704</v>
      </c>
      <c r="I2449" s="14">
        <v>45303</v>
      </c>
    </row>
    <row r="2450" spans="1:9" x14ac:dyDescent="0.15">
      <c r="A2450" s="5">
        <v>2449</v>
      </c>
      <c r="B2450" s="6" t="s">
        <v>9</v>
      </c>
      <c r="C2450" s="7">
        <v>1882</v>
      </c>
      <c r="D2450" s="8">
        <v>45388</v>
      </c>
      <c r="E2450" s="9" t="str">
        <f>+HYPERLINK("http://trademark.i-assist.jp/data/china/image_1882th/76347221.pdf","76347221")</f>
        <v>76347221</v>
      </c>
      <c r="F2450" s="6" t="s">
        <v>6705</v>
      </c>
      <c r="G2450" s="6" t="s">
        <v>1438</v>
      </c>
      <c r="H2450" s="8" t="s">
        <v>6706</v>
      </c>
      <c r="I2450" s="14">
        <v>45303</v>
      </c>
    </row>
    <row r="2451" spans="1:9" x14ac:dyDescent="0.15">
      <c r="A2451" s="5">
        <v>2450</v>
      </c>
      <c r="B2451" s="6" t="s">
        <v>9</v>
      </c>
      <c r="C2451" s="7">
        <v>1882</v>
      </c>
      <c r="D2451" s="8">
        <v>45388</v>
      </c>
      <c r="E2451" s="9" t="str">
        <f>+HYPERLINK("http://trademark.i-assist.jp/data/china/image_1882th/76347295.pdf","76347295")</f>
        <v>76347295</v>
      </c>
      <c r="F2451" s="6" t="s">
        <v>6707</v>
      </c>
      <c r="G2451" s="6" t="s">
        <v>6708</v>
      </c>
      <c r="H2451" s="8" t="s">
        <v>6709</v>
      </c>
      <c r="I2451" s="14">
        <v>45303</v>
      </c>
    </row>
    <row r="2452" spans="1:9" x14ac:dyDescent="0.15">
      <c r="A2452" s="5">
        <v>2451</v>
      </c>
      <c r="B2452" s="6" t="s">
        <v>9</v>
      </c>
      <c r="C2452" s="7">
        <v>1882</v>
      </c>
      <c r="D2452" s="8">
        <v>45388</v>
      </c>
      <c r="E2452" s="9" t="str">
        <f>+HYPERLINK("http://trademark.i-assist.jp/data/china/image_1882th/76347574.pdf","76347574")</f>
        <v>76347574</v>
      </c>
      <c r="F2452" s="6" t="s">
        <v>6710</v>
      </c>
      <c r="G2452" s="6" t="s">
        <v>6711</v>
      </c>
      <c r="H2452" s="8" t="s">
        <v>6712</v>
      </c>
      <c r="I2452" s="14">
        <v>45303</v>
      </c>
    </row>
    <row r="2453" spans="1:9" x14ac:dyDescent="0.15">
      <c r="A2453" s="5">
        <v>2452</v>
      </c>
      <c r="B2453" s="6" t="s">
        <v>9</v>
      </c>
      <c r="C2453" s="7">
        <v>1882</v>
      </c>
      <c r="D2453" s="8">
        <v>45388</v>
      </c>
      <c r="E2453" s="9" t="str">
        <f>+HYPERLINK("http://trademark.i-assist.jp/data/china/image_1882th/76347699.pdf","76347699")</f>
        <v>76347699</v>
      </c>
      <c r="F2453" s="6" t="s">
        <v>6713</v>
      </c>
      <c r="G2453" s="6" t="s">
        <v>6714</v>
      </c>
      <c r="H2453" s="8" t="s">
        <v>6715</v>
      </c>
      <c r="I2453" s="14">
        <v>45303</v>
      </c>
    </row>
    <row r="2454" spans="1:9" x14ac:dyDescent="0.15">
      <c r="A2454" s="5">
        <v>2453</v>
      </c>
      <c r="B2454" s="6" t="s">
        <v>9</v>
      </c>
      <c r="C2454" s="7">
        <v>1882</v>
      </c>
      <c r="D2454" s="8">
        <v>45388</v>
      </c>
      <c r="E2454" s="9" t="str">
        <f>+HYPERLINK("http://trademark.i-assist.jp/data/china/image_1882th/76347704.pdf","76347704")</f>
        <v>76347704</v>
      </c>
      <c r="F2454" s="6" t="s">
        <v>26</v>
      </c>
      <c r="G2454" s="6" t="s">
        <v>6714</v>
      </c>
      <c r="H2454" s="8" t="s">
        <v>6716</v>
      </c>
      <c r="I2454" s="14">
        <v>45303</v>
      </c>
    </row>
    <row r="2455" spans="1:9" x14ac:dyDescent="0.15">
      <c r="A2455" s="5">
        <v>2454</v>
      </c>
      <c r="B2455" s="6" t="s">
        <v>9</v>
      </c>
      <c r="C2455" s="7">
        <v>1882</v>
      </c>
      <c r="D2455" s="8">
        <v>45388</v>
      </c>
      <c r="E2455" s="9" t="str">
        <f>+HYPERLINK("http://trademark.i-assist.jp/data/china/image_1882th/76347799.pdf","76347799")</f>
        <v>76347799</v>
      </c>
      <c r="F2455" s="6" t="s">
        <v>6717</v>
      </c>
      <c r="G2455" s="6" t="s">
        <v>6718</v>
      </c>
      <c r="H2455" s="8" t="s">
        <v>6719</v>
      </c>
      <c r="I2455" s="14">
        <v>45303</v>
      </c>
    </row>
    <row r="2456" spans="1:9" x14ac:dyDescent="0.15">
      <c r="A2456" s="5">
        <v>2455</v>
      </c>
      <c r="B2456" s="6" t="s">
        <v>9</v>
      </c>
      <c r="C2456" s="7">
        <v>1882</v>
      </c>
      <c r="D2456" s="8">
        <v>45388</v>
      </c>
      <c r="E2456" s="9" t="str">
        <f>+HYPERLINK("http://trademark.i-assist.jp/data/china/image_1882th/76347907.pdf","76347907")</f>
        <v>76347907</v>
      </c>
      <c r="F2456" s="6" t="s">
        <v>6720</v>
      </c>
      <c r="G2456" s="6" t="s">
        <v>6721</v>
      </c>
      <c r="H2456" s="8" t="s">
        <v>6722</v>
      </c>
      <c r="I2456" s="14">
        <v>45303</v>
      </c>
    </row>
    <row r="2457" spans="1:9" x14ac:dyDescent="0.15">
      <c r="A2457" s="5">
        <v>2456</v>
      </c>
      <c r="B2457" s="6" t="s">
        <v>9</v>
      </c>
      <c r="C2457" s="7">
        <v>1882</v>
      </c>
      <c r="D2457" s="8">
        <v>45388</v>
      </c>
      <c r="E2457" s="9" t="str">
        <f>+HYPERLINK("http://trademark.i-assist.jp/data/china/image_1882th/76347948.pdf","76347948")</f>
        <v>76347948</v>
      </c>
      <c r="F2457" s="6" t="s">
        <v>6723</v>
      </c>
      <c r="G2457" s="6" t="s">
        <v>6724</v>
      </c>
      <c r="H2457" s="8" t="s">
        <v>6725</v>
      </c>
      <c r="I2457" s="14">
        <v>45303</v>
      </c>
    </row>
    <row r="2458" spans="1:9" x14ac:dyDescent="0.15">
      <c r="A2458" s="5">
        <v>2457</v>
      </c>
      <c r="B2458" s="6" t="s">
        <v>9</v>
      </c>
      <c r="C2458" s="7">
        <v>1882</v>
      </c>
      <c r="D2458" s="8">
        <v>45388</v>
      </c>
      <c r="E2458" s="9" t="str">
        <f>+HYPERLINK("http://trademark.i-assist.jp/data/china/image_1882th/76348038.pdf","76348038")</f>
        <v>76348038</v>
      </c>
      <c r="F2458" s="6" t="s">
        <v>6726</v>
      </c>
      <c r="G2458" s="6" t="s">
        <v>6727</v>
      </c>
      <c r="H2458" s="8" t="s">
        <v>6728</v>
      </c>
      <c r="I2458" s="14">
        <v>45303</v>
      </c>
    </row>
    <row r="2459" spans="1:9" x14ac:dyDescent="0.15">
      <c r="A2459" s="5">
        <v>2458</v>
      </c>
      <c r="B2459" s="6" t="s">
        <v>9</v>
      </c>
      <c r="C2459" s="7">
        <v>1882</v>
      </c>
      <c r="D2459" s="8">
        <v>45388</v>
      </c>
      <c r="E2459" s="9" t="str">
        <f>+HYPERLINK("http://trademark.i-assist.jp/data/china/image_1882th/76348120.pdf","76348120")</f>
        <v>76348120</v>
      </c>
      <c r="F2459" s="6" t="s">
        <v>6729</v>
      </c>
      <c r="G2459" s="6" t="s">
        <v>2691</v>
      </c>
      <c r="H2459" s="8" t="s">
        <v>6730</v>
      </c>
      <c r="I2459" s="14">
        <v>45303</v>
      </c>
    </row>
    <row r="2460" spans="1:9" x14ac:dyDescent="0.15">
      <c r="A2460" s="5">
        <v>2459</v>
      </c>
      <c r="B2460" s="6" t="s">
        <v>9</v>
      </c>
      <c r="C2460" s="7">
        <v>1882</v>
      </c>
      <c r="D2460" s="8">
        <v>45388</v>
      </c>
      <c r="E2460" s="9" t="str">
        <f>+HYPERLINK("http://trademark.i-assist.jp/data/china/image_1882th/76348129.pdf","76348129")</f>
        <v>76348129</v>
      </c>
      <c r="F2460" s="6" t="s">
        <v>6731</v>
      </c>
      <c r="G2460" s="6" t="s">
        <v>2691</v>
      </c>
      <c r="H2460" s="8" t="s">
        <v>6732</v>
      </c>
      <c r="I2460" s="14">
        <v>45303</v>
      </c>
    </row>
    <row r="2461" spans="1:9" x14ac:dyDescent="0.15">
      <c r="A2461" s="5">
        <v>2460</v>
      </c>
      <c r="B2461" s="6" t="s">
        <v>9</v>
      </c>
      <c r="C2461" s="7">
        <v>1882</v>
      </c>
      <c r="D2461" s="8">
        <v>45388</v>
      </c>
      <c r="E2461" s="9" t="str">
        <f>+HYPERLINK("http://trademark.i-assist.jp/data/china/image_1882th/76348308.pdf","76348308")</f>
        <v>76348308</v>
      </c>
      <c r="F2461" s="6" t="s">
        <v>6733</v>
      </c>
      <c r="G2461" s="6" t="s">
        <v>6734</v>
      </c>
      <c r="H2461" s="8" t="s">
        <v>6735</v>
      </c>
      <c r="I2461" s="14">
        <v>45303</v>
      </c>
    </row>
    <row r="2462" spans="1:9" x14ac:dyDescent="0.15">
      <c r="A2462" s="5">
        <v>2461</v>
      </c>
      <c r="B2462" s="6" t="s">
        <v>9</v>
      </c>
      <c r="C2462" s="7">
        <v>1882</v>
      </c>
      <c r="D2462" s="8">
        <v>45388</v>
      </c>
      <c r="E2462" s="9" t="str">
        <f>+HYPERLINK("http://trademark.i-assist.jp/data/china/image_1882th/76348363.pdf","76348363")</f>
        <v>76348363</v>
      </c>
      <c r="F2462" s="6" t="s">
        <v>6736</v>
      </c>
      <c r="G2462" s="6" t="s">
        <v>6737</v>
      </c>
      <c r="H2462" s="8" t="s">
        <v>6738</v>
      </c>
      <c r="I2462" s="14">
        <v>45303</v>
      </c>
    </row>
    <row r="2463" spans="1:9" x14ac:dyDescent="0.15">
      <c r="A2463" s="5">
        <v>2462</v>
      </c>
      <c r="B2463" s="6" t="s">
        <v>9</v>
      </c>
      <c r="C2463" s="7">
        <v>1882</v>
      </c>
      <c r="D2463" s="8">
        <v>45388</v>
      </c>
      <c r="E2463" s="9" t="str">
        <f>+HYPERLINK("http://trademark.i-assist.jp/data/china/image_1882th/76348713.pdf","76348713")</f>
        <v>76348713</v>
      </c>
      <c r="F2463" s="6" t="s">
        <v>6739</v>
      </c>
      <c r="G2463" s="6" t="s">
        <v>2640</v>
      </c>
      <c r="H2463" s="8" t="s">
        <v>6740</v>
      </c>
      <c r="I2463" s="14">
        <v>45303</v>
      </c>
    </row>
    <row r="2464" spans="1:9" x14ac:dyDescent="0.15">
      <c r="A2464" s="5">
        <v>2463</v>
      </c>
      <c r="B2464" s="6" t="s">
        <v>9</v>
      </c>
      <c r="C2464" s="7">
        <v>1882</v>
      </c>
      <c r="D2464" s="8">
        <v>45388</v>
      </c>
      <c r="E2464" s="9" t="str">
        <f>+HYPERLINK("http://trademark.i-assist.jp/data/china/image_1882th/76348716.pdf","76348716")</f>
        <v>76348716</v>
      </c>
      <c r="F2464" s="6" t="s">
        <v>6741</v>
      </c>
      <c r="G2464" s="6" t="s">
        <v>4687</v>
      </c>
      <c r="H2464" s="8" t="s">
        <v>6742</v>
      </c>
      <c r="I2464" s="14">
        <v>45303</v>
      </c>
    </row>
    <row r="2465" spans="1:9" x14ac:dyDescent="0.15">
      <c r="A2465" s="5">
        <v>2464</v>
      </c>
      <c r="B2465" s="6" t="s">
        <v>9</v>
      </c>
      <c r="C2465" s="7">
        <v>1882</v>
      </c>
      <c r="D2465" s="8">
        <v>45388</v>
      </c>
      <c r="E2465" s="9" t="str">
        <f>+HYPERLINK("http://trademark.i-assist.jp/data/china/image_1882th/76348719.pdf","76348719")</f>
        <v>76348719</v>
      </c>
      <c r="F2465" s="6" t="s">
        <v>6743</v>
      </c>
      <c r="G2465" s="6" t="s">
        <v>6744</v>
      </c>
      <c r="H2465" s="8" t="s">
        <v>6745</v>
      </c>
      <c r="I2465" s="14">
        <v>45303</v>
      </c>
    </row>
    <row r="2466" spans="1:9" x14ac:dyDescent="0.15">
      <c r="A2466" s="5">
        <v>2465</v>
      </c>
      <c r="B2466" s="6" t="s">
        <v>9</v>
      </c>
      <c r="C2466" s="7">
        <v>1882</v>
      </c>
      <c r="D2466" s="8">
        <v>45388</v>
      </c>
      <c r="E2466" s="9" t="str">
        <f>+HYPERLINK("http://trademark.i-assist.jp/data/china/image_1882th/76349021.pdf","76349021")</f>
        <v>76349021</v>
      </c>
      <c r="F2466" s="6" t="s">
        <v>6746</v>
      </c>
      <c r="G2466" s="6" t="s">
        <v>6747</v>
      </c>
      <c r="H2466" s="8" t="s">
        <v>6748</v>
      </c>
      <c r="I2466" s="14">
        <v>45303</v>
      </c>
    </row>
    <row r="2467" spans="1:9" x14ac:dyDescent="0.15">
      <c r="A2467" s="5">
        <v>2466</v>
      </c>
      <c r="B2467" s="6" t="s">
        <v>9</v>
      </c>
      <c r="C2467" s="7">
        <v>1882</v>
      </c>
      <c r="D2467" s="8">
        <v>45388</v>
      </c>
      <c r="E2467" s="9" t="str">
        <f>+HYPERLINK("http://trademark.i-assist.jp/data/china/image_1882th/76349419.pdf","76349419")</f>
        <v>76349419</v>
      </c>
      <c r="F2467" s="6" t="s">
        <v>6749</v>
      </c>
      <c r="G2467" s="6" t="s">
        <v>6750</v>
      </c>
      <c r="H2467" s="8" t="s">
        <v>6751</v>
      </c>
      <c r="I2467" s="14">
        <v>45303</v>
      </c>
    </row>
    <row r="2468" spans="1:9" x14ac:dyDescent="0.15">
      <c r="A2468" s="5">
        <v>2467</v>
      </c>
      <c r="B2468" s="6" t="s">
        <v>9</v>
      </c>
      <c r="C2468" s="7">
        <v>1882</v>
      </c>
      <c r="D2468" s="8">
        <v>45388</v>
      </c>
      <c r="E2468" s="9" t="str">
        <f>+HYPERLINK("http://trademark.i-assist.jp/data/china/image_1882th/76349552.pdf","76349552")</f>
        <v>76349552</v>
      </c>
      <c r="F2468" s="6" t="s">
        <v>6752</v>
      </c>
      <c r="G2468" s="6" t="s">
        <v>6753</v>
      </c>
      <c r="H2468" s="8" t="s">
        <v>6754</v>
      </c>
      <c r="I2468" s="14">
        <v>45303</v>
      </c>
    </row>
    <row r="2469" spans="1:9" x14ac:dyDescent="0.15">
      <c r="A2469" s="5">
        <v>2468</v>
      </c>
      <c r="B2469" s="6" t="s">
        <v>9</v>
      </c>
      <c r="C2469" s="7">
        <v>1882</v>
      </c>
      <c r="D2469" s="8">
        <v>45388</v>
      </c>
      <c r="E2469" s="9" t="str">
        <f>+HYPERLINK("http://trademark.i-assist.jp/data/china/image_1882th/76349569.pdf","76349569")</f>
        <v>76349569</v>
      </c>
      <c r="F2469" s="6" t="s">
        <v>6755</v>
      </c>
      <c r="G2469" s="6" t="s">
        <v>6756</v>
      </c>
      <c r="H2469" s="8" t="s">
        <v>6757</v>
      </c>
      <c r="I2469" s="14">
        <v>45303</v>
      </c>
    </row>
    <row r="2470" spans="1:9" x14ac:dyDescent="0.15">
      <c r="A2470" s="5">
        <v>2469</v>
      </c>
      <c r="B2470" s="6" t="s">
        <v>9</v>
      </c>
      <c r="C2470" s="7">
        <v>1882</v>
      </c>
      <c r="D2470" s="8">
        <v>45388</v>
      </c>
      <c r="E2470" s="9" t="str">
        <f>+HYPERLINK("http://trademark.i-assist.jp/data/china/image_1882th/76349807.pdf","76349807")</f>
        <v>76349807</v>
      </c>
      <c r="F2470" s="6" t="s">
        <v>6758</v>
      </c>
      <c r="G2470" s="6" t="s">
        <v>3743</v>
      </c>
      <c r="H2470" s="8" t="s">
        <v>6759</v>
      </c>
      <c r="I2470" s="14">
        <v>45303</v>
      </c>
    </row>
    <row r="2471" spans="1:9" x14ac:dyDescent="0.15">
      <c r="A2471" s="5">
        <v>2470</v>
      </c>
      <c r="B2471" s="6" t="s">
        <v>9</v>
      </c>
      <c r="C2471" s="7">
        <v>1882</v>
      </c>
      <c r="D2471" s="8">
        <v>45388</v>
      </c>
      <c r="E2471" s="9" t="str">
        <f>+HYPERLINK("http://trademark.i-assist.jp/data/china/image_1882th/76350007.pdf","76350007")</f>
        <v>76350007</v>
      </c>
      <c r="F2471" s="6" t="s">
        <v>6760</v>
      </c>
      <c r="G2471" s="6" t="s">
        <v>6761</v>
      </c>
      <c r="H2471" s="8" t="s">
        <v>6762</v>
      </c>
      <c r="I2471" s="14">
        <v>45303</v>
      </c>
    </row>
    <row r="2472" spans="1:9" x14ac:dyDescent="0.15">
      <c r="A2472" s="5">
        <v>2471</v>
      </c>
      <c r="B2472" s="6" t="s">
        <v>9</v>
      </c>
      <c r="C2472" s="7">
        <v>1882</v>
      </c>
      <c r="D2472" s="8">
        <v>45388</v>
      </c>
      <c r="E2472" s="9" t="str">
        <f>+HYPERLINK("http://trademark.i-assist.jp/data/china/image_1882th/76350126.pdf","76350126")</f>
        <v>76350126</v>
      </c>
      <c r="F2472" s="6" t="s">
        <v>6763</v>
      </c>
      <c r="G2472" s="6" t="s">
        <v>6764</v>
      </c>
      <c r="H2472" s="8" t="s">
        <v>6765</v>
      </c>
      <c r="I2472" s="14">
        <v>45303</v>
      </c>
    </row>
    <row r="2473" spans="1:9" x14ac:dyDescent="0.15">
      <c r="A2473" s="5">
        <v>2472</v>
      </c>
      <c r="B2473" s="6" t="s">
        <v>9</v>
      </c>
      <c r="C2473" s="7">
        <v>1882</v>
      </c>
      <c r="D2473" s="8">
        <v>45388</v>
      </c>
      <c r="E2473" s="9" t="str">
        <f>+HYPERLINK("http://trademark.i-assist.jp/data/china/image_1882th/76350340.pdf","76350340")</f>
        <v>76350340</v>
      </c>
      <c r="F2473" s="6" t="s">
        <v>6766</v>
      </c>
      <c r="G2473" s="6" t="s">
        <v>6767</v>
      </c>
      <c r="H2473" s="8" t="s">
        <v>6768</v>
      </c>
      <c r="I2473" s="14">
        <v>45303</v>
      </c>
    </row>
    <row r="2474" spans="1:9" x14ac:dyDescent="0.15">
      <c r="A2474" s="5">
        <v>2473</v>
      </c>
      <c r="B2474" s="6" t="s">
        <v>9</v>
      </c>
      <c r="C2474" s="7">
        <v>1882</v>
      </c>
      <c r="D2474" s="8">
        <v>45388</v>
      </c>
      <c r="E2474" s="9" t="str">
        <f>+HYPERLINK("http://trademark.i-assist.jp/data/china/image_1882th/76350341.pdf","76350341")</f>
        <v>76350341</v>
      </c>
      <c r="F2474" s="6" t="s">
        <v>6769</v>
      </c>
      <c r="G2474" s="6" t="s">
        <v>6770</v>
      </c>
      <c r="H2474" s="8" t="s">
        <v>6771</v>
      </c>
      <c r="I2474" s="14">
        <v>45303</v>
      </c>
    </row>
    <row r="2475" spans="1:9" x14ac:dyDescent="0.15">
      <c r="A2475" s="5">
        <v>2474</v>
      </c>
      <c r="B2475" s="6" t="s">
        <v>9</v>
      </c>
      <c r="C2475" s="7">
        <v>1882</v>
      </c>
      <c r="D2475" s="8">
        <v>45388</v>
      </c>
      <c r="E2475" s="9" t="str">
        <f>+HYPERLINK("http://trademark.i-assist.jp/data/china/image_1882th/76350358.pdf","76350358")</f>
        <v>76350358</v>
      </c>
      <c r="F2475" s="6" t="s">
        <v>6772</v>
      </c>
      <c r="G2475" s="6" t="s">
        <v>6773</v>
      </c>
      <c r="H2475" s="8" t="s">
        <v>6774</v>
      </c>
      <c r="I2475" s="14">
        <v>45303</v>
      </c>
    </row>
    <row r="2476" spans="1:9" x14ac:dyDescent="0.15">
      <c r="A2476" s="5">
        <v>2475</v>
      </c>
      <c r="B2476" s="6" t="s">
        <v>9</v>
      </c>
      <c r="C2476" s="7">
        <v>1882</v>
      </c>
      <c r="D2476" s="8">
        <v>45388</v>
      </c>
      <c r="E2476" s="9" t="str">
        <f>+HYPERLINK("http://trademark.i-assist.jp/data/china/image_1882th/76350496.pdf","76350496")</f>
        <v>76350496</v>
      </c>
      <c r="F2476" s="6" t="s">
        <v>6775</v>
      </c>
      <c r="G2476" s="6" t="s">
        <v>6776</v>
      </c>
      <c r="H2476" s="8" t="s">
        <v>6777</v>
      </c>
      <c r="I2476" s="14">
        <v>45303</v>
      </c>
    </row>
    <row r="2477" spans="1:9" x14ac:dyDescent="0.15">
      <c r="A2477" s="5">
        <v>2476</v>
      </c>
      <c r="B2477" s="6" t="s">
        <v>9</v>
      </c>
      <c r="C2477" s="7">
        <v>1882</v>
      </c>
      <c r="D2477" s="8">
        <v>45388</v>
      </c>
      <c r="E2477" s="9" t="str">
        <f>+HYPERLINK("http://trademark.i-assist.jp/data/china/image_1882th/76350531.pdf","76350531")</f>
        <v>76350531</v>
      </c>
      <c r="F2477" s="6" t="s">
        <v>6778</v>
      </c>
      <c r="G2477" s="6" t="s">
        <v>6779</v>
      </c>
      <c r="H2477" s="8" t="s">
        <v>6780</v>
      </c>
      <c r="I2477" s="14">
        <v>45303</v>
      </c>
    </row>
    <row r="2478" spans="1:9" x14ac:dyDescent="0.15">
      <c r="A2478" s="5">
        <v>2477</v>
      </c>
      <c r="B2478" s="6" t="s">
        <v>9</v>
      </c>
      <c r="C2478" s="7">
        <v>1882</v>
      </c>
      <c r="D2478" s="8">
        <v>45388</v>
      </c>
      <c r="E2478" s="9" t="str">
        <f>+HYPERLINK("http://trademark.i-assist.jp/data/china/image_1882th/76350896.pdf","76350896")</f>
        <v>76350896</v>
      </c>
      <c r="F2478" s="6" t="s">
        <v>6781</v>
      </c>
      <c r="G2478" s="6" t="s">
        <v>6782</v>
      </c>
      <c r="H2478" s="8" t="s">
        <v>6783</v>
      </c>
      <c r="I2478" s="14">
        <v>45303</v>
      </c>
    </row>
    <row r="2479" spans="1:9" x14ac:dyDescent="0.15">
      <c r="A2479" s="5">
        <v>2478</v>
      </c>
      <c r="B2479" s="6" t="s">
        <v>9</v>
      </c>
      <c r="C2479" s="7">
        <v>1882</v>
      </c>
      <c r="D2479" s="8">
        <v>45388</v>
      </c>
      <c r="E2479" s="9" t="str">
        <f>+HYPERLINK("http://trademark.i-assist.jp/data/china/image_1882th/76350980.pdf","76350980")</f>
        <v>76350980</v>
      </c>
      <c r="F2479" s="6" t="s">
        <v>6784</v>
      </c>
      <c r="G2479" s="6" t="s">
        <v>6785</v>
      </c>
      <c r="H2479" s="8" t="s">
        <v>6786</v>
      </c>
      <c r="I2479" s="14">
        <v>45303</v>
      </c>
    </row>
    <row r="2480" spans="1:9" x14ac:dyDescent="0.15">
      <c r="A2480" s="5">
        <v>2479</v>
      </c>
      <c r="B2480" s="6" t="s">
        <v>9</v>
      </c>
      <c r="C2480" s="7">
        <v>1882</v>
      </c>
      <c r="D2480" s="8">
        <v>45388</v>
      </c>
      <c r="E2480" s="9" t="str">
        <f>+HYPERLINK("http://trademark.i-assist.jp/data/china/image_1882th/76351131.pdf","76351131")</f>
        <v>76351131</v>
      </c>
      <c r="F2480" s="6" t="s">
        <v>6787</v>
      </c>
      <c r="G2480" s="6" t="s">
        <v>6788</v>
      </c>
      <c r="H2480" s="8" t="s">
        <v>6789</v>
      </c>
      <c r="I2480" s="14">
        <v>45303</v>
      </c>
    </row>
    <row r="2481" spans="1:9" x14ac:dyDescent="0.15">
      <c r="A2481" s="5">
        <v>2480</v>
      </c>
      <c r="B2481" s="6" t="s">
        <v>9</v>
      </c>
      <c r="C2481" s="7">
        <v>1882</v>
      </c>
      <c r="D2481" s="8">
        <v>45388</v>
      </c>
      <c r="E2481" s="9" t="str">
        <f>+HYPERLINK("http://trademark.i-assist.jp/data/china/image_1882th/76351144.pdf","76351144")</f>
        <v>76351144</v>
      </c>
      <c r="F2481" s="6" t="s">
        <v>6790</v>
      </c>
      <c r="G2481" s="6" t="s">
        <v>6791</v>
      </c>
      <c r="H2481" s="8" t="s">
        <v>6792</v>
      </c>
      <c r="I2481" s="14">
        <v>45303</v>
      </c>
    </row>
    <row r="2482" spans="1:9" x14ac:dyDescent="0.15">
      <c r="A2482" s="5">
        <v>2481</v>
      </c>
      <c r="B2482" s="6" t="s">
        <v>9</v>
      </c>
      <c r="C2482" s="7">
        <v>1882</v>
      </c>
      <c r="D2482" s="8">
        <v>45388</v>
      </c>
      <c r="E2482" s="9" t="str">
        <f>+HYPERLINK("http://trademark.i-assist.jp/data/china/image_1882th/76351175.pdf","76351175")</f>
        <v>76351175</v>
      </c>
      <c r="F2482" s="6" t="s">
        <v>6793</v>
      </c>
      <c r="G2482" s="6" t="s">
        <v>6794</v>
      </c>
      <c r="H2482" s="8" t="s">
        <v>6795</v>
      </c>
      <c r="I2482" s="14">
        <v>45303</v>
      </c>
    </row>
    <row r="2483" spans="1:9" x14ac:dyDescent="0.15">
      <c r="A2483" s="5">
        <v>2482</v>
      </c>
      <c r="B2483" s="6" t="s">
        <v>9</v>
      </c>
      <c r="C2483" s="7">
        <v>1882</v>
      </c>
      <c r="D2483" s="8">
        <v>45388</v>
      </c>
      <c r="E2483" s="9" t="str">
        <f>+HYPERLINK("http://trademark.i-assist.jp/data/china/image_1882th/76351368.pdf","76351368")</f>
        <v>76351368</v>
      </c>
      <c r="F2483" s="6" t="s">
        <v>6796</v>
      </c>
      <c r="G2483" s="6" t="s">
        <v>6797</v>
      </c>
      <c r="H2483" s="8" t="s">
        <v>6798</v>
      </c>
      <c r="I2483" s="14">
        <v>45303</v>
      </c>
    </row>
    <row r="2484" spans="1:9" x14ac:dyDescent="0.15">
      <c r="A2484" s="5">
        <v>2483</v>
      </c>
      <c r="B2484" s="6" t="s">
        <v>9</v>
      </c>
      <c r="C2484" s="7">
        <v>1882</v>
      </c>
      <c r="D2484" s="8">
        <v>45388</v>
      </c>
      <c r="E2484" s="9" t="str">
        <f>+HYPERLINK("http://trademark.i-assist.jp/data/china/image_1882th/76351410.pdf","76351410")</f>
        <v>76351410</v>
      </c>
      <c r="F2484" s="6" t="s">
        <v>6799</v>
      </c>
      <c r="G2484" s="6" t="s">
        <v>2691</v>
      </c>
      <c r="H2484" s="8" t="s">
        <v>6800</v>
      </c>
      <c r="I2484" s="14">
        <v>45303</v>
      </c>
    </row>
    <row r="2485" spans="1:9" x14ac:dyDescent="0.15">
      <c r="A2485" s="5">
        <v>2484</v>
      </c>
      <c r="B2485" s="6" t="s">
        <v>9</v>
      </c>
      <c r="C2485" s="7">
        <v>1882</v>
      </c>
      <c r="D2485" s="8">
        <v>45388</v>
      </c>
      <c r="E2485" s="9" t="str">
        <f>+HYPERLINK("http://trademark.i-assist.jp/data/china/image_1882th/76351710.pdf","76351710")</f>
        <v>76351710</v>
      </c>
      <c r="F2485" s="6" t="s">
        <v>6801</v>
      </c>
      <c r="G2485" s="6" t="s">
        <v>6802</v>
      </c>
      <c r="H2485" s="8" t="s">
        <v>6803</v>
      </c>
      <c r="I2485" s="14">
        <v>45303</v>
      </c>
    </row>
    <row r="2486" spans="1:9" x14ac:dyDescent="0.15">
      <c r="A2486" s="5">
        <v>2485</v>
      </c>
      <c r="B2486" s="6" t="s">
        <v>9</v>
      </c>
      <c r="C2486" s="7">
        <v>1882</v>
      </c>
      <c r="D2486" s="8">
        <v>45388</v>
      </c>
      <c r="E2486" s="9" t="str">
        <f>+HYPERLINK("http://trademark.i-assist.jp/data/china/image_1882th/76351814.pdf","76351814")</f>
        <v>76351814</v>
      </c>
      <c r="F2486" s="6" t="s">
        <v>6804</v>
      </c>
      <c r="G2486" s="6" t="s">
        <v>6805</v>
      </c>
      <c r="H2486" s="8" t="s">
        <v>6806</v>
      </c>
      <c r="I2486" s="14">
        <v>45303</v>
      </c>
    </row>
    <row r="2487" spans="1:9" x14ac:dyDescent="0.15">
      <c r="A2487" s="5">
        <v>2486</v>
      </c>
      <c r="B2487" s="6" t="s">
        <v>9</v>
      </c>
      <c r="C2487" s="7">
        <v>1882</v>
      </c>
      <c r="D2487" s="8">
        <v>45388</v>
      </c>
      <c r="E2487" s="9" t="str">
        <f>+HYPERLINK("http://trademark.i-assist.jp/data/china/image_1882th/76352055.pdf","76352055")</f>
        <v>76352055</v>
      </c>
      <c r="F2487" s="6" t="s">
        <v>6807</v>
      </c>
      <c r="G2487" s="6" t="s">
        <v>6808</v>
      </c>
      <c r="H2487" s="8" t="s">
        <v>6809</v>
      </c>
      <c r="I2487" s="14">
        <v>45303</v>
      </c>
    </row>
    <row r="2488" spans="1:9" x14ac:dyDescent="0.15">
      <c r="A2488" s="5">
        <v>2487</v>
      </c>
      <c r="B2488" s="6" t="s">
        <v>9</v>
      </c>
      <c r="C2488" s="7">
        <v>1882</v>
      </c>
      <c r="D2488" s="8">
        <v>45388</v>
      </c>
      <c r="E2488" s="9" t="str">
        <f>+HYPERLINK("http://trademark.i-assist.jp/data/china/image_1882th/76352074.pdf","76352074")</f>
        <v>76352074</v>
      </c>
      <c r="F2488" s="6" t="s">
        <v>6810</v>
      </c>
      <c r="G2488" s="6" t="s">
        <v>6811</v>
      </c>
      <c r="H2488" s="8" t="s">
        <v>6812</v>
      </c>
      <c r="I2488" s="14">
        <v>45303</v>
      </c>
    </row>
    <row r="2489" spans="1:9" x14ac:dyDescent="0.15">
      <c r="A2489" s="5">
        <v>2488</v>
      </c>
      <c r="B2489" s="6" t="s">
        <v>9</v>
      </c>
      <c r="C2489" s="7">
        <v>1882</v>
      </c>
      <c r="D2489" s="8">
        <v>45388</v>
      </c>
      <c r="E2489" s="9" t="str">
        <f>+HYPERLINK("http://trademark.i-assist.jp/data/china/image_1882th/76352148.pdf","76352148")</f>
        <v>76352148</v>
      </c>
      <c r="F2489" s="6" t="s">
        <v>6813</v>
      </c>
      <c r="G2489" s="6" t="s">
        <v>6814</v>
      </c>
      <c r="H2489" s="8" t="s">
        <v>6815</v>
      </c>
      <c r="I2489" s="14">
        <v>45303</v>
      </c>
    </row>
    <row r="2490" spans="1:9" x14ac:dyDescent="0.15">
      <c r="A2490" s="5">
        <v>2489</v>
      </c>
      <c r="B2490" s="6" t="s">
        <v>9</v>
      </c>
      <c r="C2490" s="7">
        <v>1882</v>
      </c>
      <c r="D2490" s="8">
        <v>45388</v>
      </c>
      <c r="E2490" s="9" t="str">
        <f>+HYPERLINK("http://trademark.i-assist.jp/data/china/image_1882th/76352234.pdf","76352234")</f>
        <v>76352234</v>
      </c>
      <c r="F2490" s="6" t="s">
        <v>6816</v>
      </c>
      <c r="G2490" s="6" t="s">
        <v>6817</v>
      </c>
      <c r="H2490" s="8" t="s">
        <v>6818</v>
      </c>
      <c r="I2490" s="14">
        <v>45303</v>
      </c>
    </row>
    <row r="2491" spans="1:9" x14ac:dyDescent="0.15">
      <c r="A2491" s="5">
        <v>2490</v>
      </c>
      <c r="B2491" s="6" t="s">
        <v>9</v>
      </c>
      <c r="C2491" s="7">
        <v>1882</v>
      </c>
      <c r="D2491" s="8">
        <v>45388</v>
      </c>
      <c r="E2491" s="9" t="str">
        <f>+HYPERLINK("http://trademark.i-assist.jp/data/china/image_1882th/76352306.pdf","76352306")</f>
        <v>76352306</v>
      </c>
      <c r="F2491" s="6" t="s">
        <v>6819</v>
      </c>
      <c r="G2491" s="6" t="s">
        <v>6820</v>
      </c>
      <c r="H2491" s="8" t="s">
        <v>6821</v>
      </c>
      <c r="I2491" s="14">
        <v>45303</v>
      </c>
    </row>
    <row r="2492" spans="1:9" x14ac:dyDescent="0.15">
      <c r="A2492" s="5">
        <v>2491</v>
      </c>
      <c r="B2492" s="6" t="s">
        <v>9</v>
      </c>
      <c r="C2492" s="7">
        <v>1882</v>
      </c>
      <c r="D2492" s="8">
        <v>45388</v>
      </c>
      <c r="E2492" s="9" t="str">
        <f>+HYPERLINK("http://trademark.i-assist.jp/data/china/image_1882th/76352317.pdf","76352317")</f>
        <v>76352317</v>
      </c>
      <c r="F2492" s="6" t="s">
        <v>6822</v>
      </c>
      <c r="G2492" s="6" t="s">
        <v>6823</v>
      </c>
      <c r="H2492" s="8" t="s">
        <v>6824</v>
      </c>
      <c r="I2492" s="14">
        <v>45303</v>
      </c>
    </row>
    <row r="2493" spans="1:9" x14ac:dyDescent="0.15">
      <c r="A2493" s="5">
        <v>2492</v>
      </c>
      <c r="B2493" s="6" t="s">
        <v>9</v>
      </c>
      <c r="C2493" s="7">
        <v>1882</v>
      </c>
      <c r="D2493" s="8">
        <v>45388</v>
      </c>
      <c r="E2493" s="9" t="str">
        <f>+HYPERLINK("http://trademark.i-assist.jp/data/china/image_1882th/76352429.pdf","76352429")</f>
        <v>76352429</v>
      </c>
      <c r="F2493" s="6" t="s">
        <v>6825</v>
      </c>
      <c r="G2493" s="6" t="s">
        <v>6826</v>
      </c>
      <c r="H2493" s="8" t="s">
        <v>6827</v>
      </c>
      <c r="I2493" s="14">
        <v>45303</v>
      </c>
    </row>
    <row r="2494" spans="1:9" x14ac:dyDescent="0.15">
      <c r="A2494" s="5">
        <v>2493</v>
      </c>
      <c r="B2494" s="6" t="s">
        <v>9</v>
      </c>
      <c r="C2494" s="7">
        <v>1882</v>
      </c>
      <c r="D2494" s="8">
        <v>45388</v>
      </c>
      <c r="E2494" s="9" t="str">
        <f>+HYPERLINK("http://trademark.i-assist.jp/data/china/image_1882th/76352596.pdf","76352596")</f>
        <v>76352596</v>
      </c>
      <c r="F2494" s="6" t="s">
        <v>6828</v>
      </c>
      <c r="G2494" s="6" t="s">
        <v>6829</v>
      </c>
      <c r="H2494" s="8" t="s">
        <v>6830</v>
      </c>
      <c r="I2494" s="14">
        <v>45303</v>
      </c>
    </row>
    <row r="2495" spans="1:9" x14ac:dyDescent="0.15">
      <c r="A2495" s="5">
        <v>2494</v>
      </c>
      <c r="B2495" s="6" t="s">
        <v>9</v>
      </c>
      <c r="C2495" s="7">
        <v>1882</v>
      </c>
      <c r="D2495" s="8">
        <v>45388</v>
      </c>
      <c r="E2495" s="9" t="str">
        <f>+HYPERLINK("http://trademark.i-assist.jp/data/china/image_1882th/76352643.pdf","76352643")</f>
        <v>76352643</v>
      </c>
      <c r="F2495" s="6" t="s">
        <v>6831</v>
      </c>
      <c r="G2495" s="6" t="s">
        <v>6832</v>
      </c>
      <c r="H2495" s="8" t="s">
        <v>6833</v>
      </c>
      <c r="I2495" s="14">
        <v>45303</v>
      </c>
    </row>
    <row r="2496" spans="1:9" x14ac:dyDescent="0.15">
      <c r="A2496" s="5">
        <v>2495</v>
      </c>
      <c r="B2496" s="6" t="s">
        <v>9</v>
      </c>
      <c r="C2496" s="7">
        <v>1882</v>
      </c>
      <c r="D2496" s="8">
        <v>45388</v>
      </c>
      <c r="E2496" s="9" t="str">
        <f>+HYPERLINK("http://trademark.i-assist.jp/data/china/image_1882th/76352814.pdf","76352814")</f>
        <v>76352814</v>
      </c>
      <c r="F2496" s="6" t="s">
        <v>6834</v>
      </c>
      <c r="G2496" s="6" t="s">
        <v>6835</v>
      </c>
      <c r="H2496" s="8" t="s">
        <v>6836</v>
      </c>
      <c r="I2496" s="14">
        <v>45303</v>
      </c>
    </row>
    <row r="2497" spans="1:9" x14ac:dyDescent="0.15">
      <c r="A2497" s="5">
        <v>2496</v>
      </c>
      <c r="B2497" s="6" t="s">
        <v>9</v>
      </c>
      <c r="C2497" s="7">
        <v>1882</v>
      </c>
      <c r="D2497" s="8">
        <v>45388</v>
      </c>
      <c r="E2497" s="9" t="str">
        <f>+HYPERLINK("http://trademark.i-assist.jp/data/china/image_1882th/76352929.pdf","76352929")</f>
        <v>76352929</v>
      </c>
      <c r="F2497" s="6" t="s">
        <v>6837</v>
      </c>
      <c r="G2497" s="6" t="s">
        <v>6838</v>
      </c>
      <c r="H2497" s="8" t="s">
        <v>6839</v>
      </c>
      <c r="I2497" s="14">
        <v>45303</v>
      </c>
    </row>
    <row r="2498" spans="1:9" x14ac:dyDescent="0.15">
      <c r="A2498" s="5">
        <v>2497</v>
      </c>
      <c r="B2498" s="6" t="s">
        <v>9</v>
      </c>
      <c r="C2498" s="7">
        <v>1882</v>
      </c>
      <c r="D2498" s="8">
        <v>45388</v>
      </c>
      <c r="E2498" s="9" t="str">
        <f>+HYPERLINK("http://trademark.i-assist.jp/data/china/image_1882th/76353013.pdf","76353013")</f>
        <v>76353013</v>
      </c>
      <c r="F2498" s="6" t="s">
        <v>6840</v>
      </c>
      <c r="G2498" s="6" t="s">
        <v>2691</v>
      </c>
      <c r="H2498" s="8" t="s">
        <v>6841</v>
      </c>
      <c r="I2498" s="14">
        <v>45303</v>
      </c>
    </row>
    <row r="2499" spans="1:9" x14ac:dyDescent="0.15">
      <c r="A2499" s="5">
        <v>2498</v>
      </c>
      <c r="B2499" s="6" t="s">
        <v>9</v>
      </c>
      <c r="C2499" s="7">
        <v>1882</v>
      </c>
      <c r="D2499" s="8">
        <v>45388</v>
      </c>
      <c r="E2499" s="9" t="str">
        <f>+HYPERLINK("http://trademark.i-assist.jp/data/china/image_1882th/76353592.pdf","76353592")</f>
        <v>76353592</v>
      </c>
      <c r="F2499" s="6" t="s">
        <v>6842</v>
      </c>
      <c r="G2499" s="6" t="s">
        <v>6843</v>
      </c>
      <c r="H2499" s="8" t="s">
        <v>6844</v>
      </c>
      <c r="I2499" s="14">
        <v>45303</v>
      </c>
    </row>
    <row r="2500" spans="1:9" x14ac:dyDescent="0.15">
      <c r="A2500" s="5">
        <v>2499</v>
      </c>
      <c r="B2500" s="6" t="s">
        <v>9</v>
      </c>
      <c r="C2500" s="7">
        <v>1882</v>
      </c>
      <c r="D2500" s="8">
        <v>45388</v>
      </c>
      <c r="E2500" s="9" t="str">
        <f>+HYPERLINK("http://trademark.i-assist.jp/data/china/image_1882th/76353691.pdf","76353691")</f>
        <v>76353691</v>
      </c>
      <c r="F2500" s="6" t="s">
        <v>26</v>
      </c>
      <c r="G2500" s="6" t="s">
        <v>6845</v>
      </c>
      <c r="H2500" s="8" t="s">
        <v>6846</v>
      </c>
      <c r="I2500" s="14">
        <v>45303</v>
      </c>
    </row>
    <row r="2501" spans="1:9" x14ac:dyDescent="0.15">
      <c r="A2501" s="5">
        <v>2500</v>
      </c>
      <c r="B2501" s="6" t="s">
        <v>9</v>
      </c>
      <c r="C2501" s="7">
        <v>1882</v>
      </c>
      <c r="D2501" s="8">
        <v>45388</v>
      </c>
      <c r="E2501" s="9" t="str">
        <f>+HYPERLINK("http://trademark.i-assist.jp/data/china/image_1882th/76353692.pdf","76353692")</f>
        <v>76353692</v>
      </c>
      <c r="F2501" s="6" t="s">
        <v>6847</v>
      </c>
      <c r="G2501" s="6" t="s">
        <v>6848</v>
      </c>
      <c r="H2501" s="8" t="s">
        <v>6849</v>
      </c>
      <c r="I2501" s="14">
        <v>45303</v>
      </c>
    </row>
    <row r="2502" spans="1:9" x14ac:dyDescent="0.15">
      <c r="A2502" s="5">
        <v>2501</v>
      </c>
      <c r="B2502" s="6" t="s">
        <v>9</v>
      </c>
      <c r="C2502" s="7">
        <v>1882</v>
      </c>
      <c r="D2502" s="8">
        <v>45388</v>
      </c>
      <c r="E2502" s="9" t="str">
        <f>+HYPERLINK("http://trademark.i-assist.jp/data/china/image_1882th/76353935.pdf","76353935")</f>
        <v>76353935</v>
      </c>
      <c r="F2502" s="6" t="s">
        <v>6850</v>
      </c>
      <c r="G2502" s="6" t="s">
        <v>6851</v>
      </c>
      <c r="H2502" s="8" t="s">
        <v>6852</v>
      </c>
      <c r="I2502" s="14">
        <v>45303</v>
      </c>
    </row>
    <row r="2503" spans="1:9" x14ac:dyDescent="0.15">
      <c r="A2503" s="5">
        <v>2502</v>
      </c>
      <c r="B2503" s="6" t="s">
        <v>9</v>
      </c>
      <c r="C2503" s="7">
        <v>1882</v>
      </c>
      <c r="D2503" s="8">
        <v>45388</v>
      </c>
      <c r="E2503" s="9" t="str">
        <f>+HYPERLINK("http://trademark.i-assist.jp/data/china/image_1882th/76354035.pdf","76354035")</f>
        <v>76354035</v>
      </c>
      <c r="F2503" s="6" t="s">
        <v>6853</v>
      </c>
      <c r="G2503" s="6" t="s">
        <v>6854</v>
      </c>
      <c r="H2503" s="8" t="s">
        <v>6855</v>
      </c>
      <c r="I2503" s="14">
        <v>45303</v>
      </c>
    </row>
    <row r="2504" spans="1:9" x14ac:dyDescent="0.15">
      <c r="A2504" s="5">
        <v>2503</v>
      </c>
      <c r="B2504" s="6" t="s">
        <v>9</v>
      </c>
      <c r="C2504" s="7">
        <v>1882</v>
      </c>
      <c r="D2504" s="8">
        <v>45388</v>
      </c>
      <c r="E2504" s="9" t="str">
        <f>+HYPERLINK("http://trademark.i-assist.jp/data/china/image_1882th/76354226.pdf","76354226")</f>
        <v>76354226</v>
      </c>
      <c r="F2504" s="6" t="s">
        <v>6856</v>
      </c>
      <c r="G2504" s="6" t="s">
        <v>6857</v>
      </c>
      <c r="H2504" s="8" t="s">
        <v>6858</v>
      </c>
      <c r="I2504" s="14">
        <v>45303</v>
      </c>
    </row>
    <row r="2505" spans="1:9" x14ac:dyDescent="0.15">
      <c r="A2505" s="5">
        <v>2504</v>
      </c>
      <c r="B2505" s="6" t="s">
        <v>9</v>
      </c>
      <c r="C2505" s="7">
        <v>1882</v>
      </c>
      <c r="D2505" s="8">
        <v>45388</v>
      </c>
      <c r="E2505" s="9" t="str">
        <f>+HYPERLINK("http://trademark.i-assist.jp/data/china/image_1882th/76354454.pdf","76354454")</f>
        <v>76354454</v>
      </c>
      <c r="F2505" s="6" t="s">
        <v>6859</v>
      </c>
      <c r="G2505" s="6" t="s">
        <v>6860</v>
      </c>
      <c r="H2505" s="8" t="s">
        <v>6861</v>
      </c>
      <c r="I2505" s="14">
        <v>45303</v>
      </c>
    </row>
    <row r="2506" spans="1:9" x14ac:dyDescent="0.15">
      <c r="A2506" s="5">
        <v>2505</v>
      </c>
      <c r="B2506" s="6" t="s">
        <v>9</v>
      </c>
      <c r="C2506" s="7">
        <v>1882</v>
      </c>
      <c r="D2506" s="8">
        <v>45388</v>
      </c>
      <c r="E2506" s="9" t="str">
        <f>+HYPERLINK("http://trademark.i-assist.jp/data/china/image_1882th/76354670.pdf","76354670")</f>
        <v>76354670</v>
      </c>
      <c r="F2506" s="6" t="s">
        <v>6862</v>
      </c>
      <c r="G2506" s="6" t="s">
        <v>6863</v>
      </c>
      <c r="H2506" s="8" t="s">
        <v>6864</v>
      </c>
      <c r="I2506" s="14">
        <v>45303</v>
      </c>
    </row>
    <row r="2507" spans="1:9" x14ac:dyDescent="0.15">
      <c r="A2507" s="5">
        <v>2506</v>
      </c>
      <c r="B2507" s="6" t="s">
        <v>9</v>
      </c>
      <c r="C2507" s="7">
        <v>1882</v>
      </c>
      <c r="D2507" s="8">
        <v>45388</v>
      </c>
      <c r="E2507" s="9" t="str">
        <f>+HYPERLINK("http://trademark.i-assist.jp/data/china/image_1882th/76354778.pdf","76354778")</f>
        <v>76354778</v>
      </c>
      <c r="F2507" s="6" t="s">
        <v>26</v>
      </c>
      <c r="G2507" s="6" t="s">
        <v>6865</v>
      </c>
      <c r="H2507" s="8" t="s">
        <v>6866</v>
      </c>
      <c r="I2507" s="14">
        <v>45303</v>
      </c>
    </row>
    <row r="2508" spans="1:9" x14ac:dyDescent="0.15">
      <c r="A2508" s="5">
        <v>2507</v>
      </c>
      <c r="B2508" s="6" t="s">
        <v>9</v>
      </c>
      <c r="C2508" s="7">
        <v>1882</v>
      </c>
      <c r="D2508" s="8">
        <v>45388</v>
      </c>
      <c r="E2508" s="9" t="str">
        <f>+HYPERLINK("http://trademark.i-assist.jp/data/china/image_1882th/76354780.pdf","76354780")</f>
        <v>76354780</v>
      </c>
      <c r="F2508" s="6" t="s">
        <v>6867</v>
      </c>
      <c r="G2508" s="6" t="s">
        <v>6838</v>
      </c>
      <c r="H2508" s="8" t="s">
        <v>6868</v>
      </c>
      <c r="I2508" s="14">
        <v>45303</v>
      </c>
    </row>
    <row r="2509" spans="1:9" x14ac:dyDescent="0.15">
      <c r="A2509" s="5">
        <v>2508</v>
      </c>
      <c r="B2509" s="6" t="s">
        <v>9</v>
      </c>
      <c r="C2509" s="7">
        <v>1882</v>
      </c>
      <c r="D2509" s="8">
        <v>45388</v>
      </c>
      <c r="E2509" s="9" t="str">
        <f>+HYPERLINK("http://trademark.i-assist.jp/data/china/image_1882th/76354959.pdf","76354959")</f>
        <v>76354959</v>
      </c>
      <c r="F2509" s="6" t="s">
        <v>6869</v>
      </c>
      <c r="G2509" s="6" t="s">
        <v>6870</v>
      </c>
      <c r="H2509" s="8" t="s">
        <v>6871</v>
      </c>
      <c r="I2509" s="14">
        <v>45303</v>
      </c>
    </row>
    <row r="2510" spans="1:9" x14ac:dyDescent="0.15">
      <c r="A2510" s="5">
        <v>2509</v>
      </c>
      <c r="B2510" s="6" t="s">
        <v>9</v>
      </c>
      <c r="C2510" s="7">
        <v>1882</v>
      </c>
      <c r="D2510" s="8">
        <v>45388</v>
      </c>
      <c r="E2510" s="9" t="str">
        <f>+HYPERLINK("http://trademark.i-assist.jp/data/china/image_1882th/76354968.pdf","76354968")</f>
        <v>76354968</v>
      </c>
      <c r="F2510" s="6" t="s">
        <v>6872</v>
      </c>
      <c r="G2510" s="6" t="s">
        <v>6643</v>
      </c>
      <c r="H2510" s="8" t="s">
        <v>6873</v>
      </c>
      <c r="I2510" s="14">
        <v>45303</v>
      </c>
    </row>
    <row r="2511" spans="1:9" x14ac:dyDescent="0.15">
      <c r="A2511" s="5">
        <v>2510</v>
      </c>
      <c r="B2511" s="6" t="s">
        <v>9</v>
      </c>
      <c r="C2511" s="7">
        <v>1882</v>
      </c>
      <c r="D2511" s="8">
        <v>45388</v>
      </c>
      <c r="E2511" s="9" t="str">
        <f>+HYPERLINK("http://trademark.i-assist.jp/data/china/image_1882th/76354983.pdf","76354983")</f>
        <v>76354983</v>
      </c>
      <c r="F2511" s="6" t="s">
        <v>6874</v>
      </c>
      <c r="G2511" s="6" t="s">
        <v>6643</v>
      </c>
      <c r="H2511" s="8" t="s">
        <v>6875</v>
      </c>
      <c r="I2511" s="14">
        <v>45303</v>
      </c>
    </row>
    <row r="2512" spans="1:9" x14ac:dyDescent="0.15">
      <c r="A2512" s="5">
        <v>2511</v>
      </c>
      <c r="B2512" s="6" t="s">
        <v>9</v>
      </c>
      <c r="C2512" s="7">
        <v>1882</v>
      </c>
      <c r="D2512" s="8">
        <v>45388</v>
      </c>
      <c r="E2512" s="9" t="str">
        <f>+HYPERLINK("http://trademark.i-assist.jp/data/china/image_1882th/76355555.pdf","76355555")</f>
        <v>76355555</v>
      </c>
      <c r="F2512" s="6" t="s">
        <v>6876</v>
      </c>
      <c r="G2512" s="6" t="s">
        <v>6877</v>
      </c>
      <c r="H2512" s="8" t="s">
        <v>6878</v>
      </c>
      <c r="I2512" s="14">
        <v>45303</v>
      </c>
    </row>
    <row r="2513" spans="1:9" x14ac:dyDescent="0.15">
      <c r="A2513" s="5">
        <v>2512</v>
      </c>
      <c r="B2513" s="6" t="s">
        <v>9</v>
      </c>
      <c r="C2513" s="7">
        <v>1882</v>
      </c>
      <c r="D2513" s="8">
        <v>45388</v>
      </c>
      <c r="E2513" s="9" t="str">
        <f>+HYPERLINK("http://trademark.i-assist.jp/data/china/image_1882th/76355629.pdf","76355629")</f>
        <v>76355629</v>
      </c>
      <c r="F2513" s="6" t="s">
        <v>6879</v>
      </c>
      <c r="G2513" s="6" t="s">
        <v>6880</v>
      </c>
      <c r="H2513" s="8" t="s">
        <v>6881</v>
      </c>
      <c r="I2513" s="14">
        <v>45303</v>
      </c>
    </row>
    <row r="2514" spans="1:9" x14ac:dyDescent="0.15">
      <c r="A2514" s="5">
        <v>2513</v>
      </c>
      <c r="B2514" s="6" t="s">
        <v>9</v>
      </c>
      <c r="C2514" s="7">
        <v>1882</v>
      </c>
      <c r="D2514" s="8">
        <v>45388</v>
      </c>
      <c r="E2514" s="9" t="str">
        <f>+HYPERLINK("http://trademark.i-assist.jp/data/china/image_1882th/76355666.pdf","76355666")</f>
        <v>76355666</v>
      </c>
      <c r="F2514" s="6" t="s">
        <v>6882</v>
      </c>
      <c r="G2514" s="6" t="s">
        <v>6883</v>
      </c>
      <c r="H2514" s="8" t="s">
        <v>6884</v>
      </c>
      <c r="I2514" s="14">
        <v>45303</v>
      </c>
    </row>
    <row r="2515" spans="1:9" x14ac:dyDescent="0.15">
      <c r="A2515" s="5">
        <v>2514</v>
      </c>
      <c r="B2515" s="6" t="s">
        <v>9</v>
      </c>
      <c r="C2515" s="7">
        <v>1882</v>
      </c>
      <c r="D2515" s="8">
        <v>45388</v>
      </c>
      <c r="E2515" s="9" t="str">
        <f>+HYPERLINK("http://trademark.i-assist.jp/data/china/image_1882th/76355793.pdf","76355793")</f>
        <v>76355793</v>
      </c>
      <c r="F2515" s="6" t="s">
        <v>6885</v>
      </c>
      <c r="G2515" s="6" t="s">
        <v>6785</v>
      </c>
      <c r="H2515" s="8" t="s">
        <v>6886</v>
      </c>
      <c r="I2515" s="14">
        <v>45303</v>
      </c>
    </row>
    <row r="2516" spans="1:9" x14ac:dyDescent="0.15">
      <c r="A2516" s="5">
        <v>2515</v>
      </c>
      <c r="B2516" s="6" t="s">
        <v>9</v>
      </c>
      <c r="C2516" s="7">
        <v>1882</v>
      </c>
      <c r="D2516" s="8">
        <v>45388</v>
      </c>
      <c r="E2516" s="9" t="str">
        <f>+HYPERLINK("http://trademark.i-assist.jp/data/china/image_1882th/76355794.pdf","76355794")</f>
        <v>76355794</v>
      </c>
      <c r="F2516" s="6" t="s">
        <v>6887</v>
      </c>
      <c r="G2516" s="6" t="s">
        <v>6888</v>
      </c>
      <c r="H2516" s="8" t="s">
        <v>6889</v>
      </c>
      <c r="I2516" s="14">
        <v>45303</v>
      </c>
    </row>
    <row r="2517" spans="1:9" x14ac:dyDescent="0.15">
      <c r="A2517" s="5">
        <v>2516</v>
      </c>
      <c r="B2517" s="6" t="s">
        <v>9</v>
      </c>
      <c r="C2517" s="7">
        <v>1882</v>
      </c>
      <c r="D2517" s="8">
        <v>45388</v>
      </c>
      <c r="E2517" s="9" t="str">
        <f>+HYPERLINK("http://trademark.i-assist.jp/data/china/image_1882th/76356195.pdf","76356195")</f>
        <v>76356195</v>
      </c>
      <c r="F2517" s="6" t="s">
        <v>6890</v>
      </c>
      <c r="G2517" s="6" t="s">
        <v>1556</v>
      </c>
      <c r="H2517" s="8" t="s">
        <v>6891</v>
      </c>
      <c r="I2517" s="14">
        <v>45303</v>
      </c>
    </row>
    <row r="2518" spans="1:9" x14ac:dyDescent="0.15">
      <c r="A2518" s="5">
        <v>2517</v>
      </c>
      <c r="B2518" s="6" t="s">
        <v>9</v>
      </c>
      <c r="C2518" s="7">
        <v>1882</v>
      </c>
      <c r="D2518" s="8">
        <v>45388</v>
      </c>
      <c r="E2518" s="9" t="str">
        <f>+HYPERLINK("http://trademark.i-assist.jp/data/china/image_1882th/76356333.pdf","76356333")</f>
        <v>76356333</v>
      </c>
      <c r="F2518" s="6" t="s">
        <v>6892</v>
      </c>
      <c r="G2518" s="6" t="s">
        <v>6893</v>
      </c>
      <c r="H2518" s="8" t="s">
        <v>6894</v>
      </c>
      <c r="I2518" s="14">
        <v>45303</v>
      </c>
    </row>
    <row r="2519" spans="1:9" x14ac:dyDescent="0.15">
      <c r="A2519" s="5">
        <v>2518</v>
      </c>
      <c r="B2519" s="6" t="s">
        <v>9</v>
      </c>
      <c r="C2519" s="7">
        <v>1882</v>
      </c>
      <c r="D2519" s="8">
        <v>45388</v>
      </c>
      <c r="E2519" s="9" t="str">
        <f>+HYPERLINK("http://trademark.i-assist.jp/data/china/image_1882th/76356383.pdf","76356383")</f>
        <v>76356383</v>
      </c>
      <c r="F2519" s="6" t="s">
        <v>6895</v>
      </c>
      <c r="G2519" s="6" t="s">
        <v>6896</v>
      </c>
      <c r="H2519" s="8" t="s">
        <v>6897</v>
      </c>
      <c r="I2519" s="14">
        <v>45303</v>
      </c>
    </row>
    <row r="2520" spans="1:9" x14ac:dyDescent="0.15">
      <c r="A2520" s="5">
        <v>2519</v>
      </c>
      <c r="B2520" s="6" t="s">
        <v>9</v>
      </c>
      <c r="C2520" s="7">
        <v>1882</v>
      </c>
      <c r="D2520" s="8">
        <v>45388</v>
      </c>
      <c r="E2520" s="9" t="str">
        <f>+HYPERLINK("http://trademark.i-assist.jp/data/china/image_1882th/76356411.pdf","76356411")</f>
        <v>76356411</v>
      </c>
      <c r="F2520" s="6" t="s">
        <v>6898</v>
      </c>
      <c r="G2520" s="6" t="s">
        <v>6899</v>
      </c>
      <c r="H2520" s="8" t="s">
        <v>6900</v>
      </c>
      <c r="I2520" s="14">
        <v>45303</v>
      </c>
    </row>
    <row r="2521" spans="1:9" x14ac:dyDescent="0.15">
      <c r="A2521" s="5">
        <v>2520</v>
      </c>
      <c r="B2521" s="6" t="s">
        <v>9</v>
      </c>
      <c r="C2521" s="7">
        <v>1882</v>
      </c>
      <c r="D2521" s="8">
        <v>45388</v>
      </c>
      <c r="E2521" s="9" t="str">
        <f>+HYPERLINK("http://trademark.i-assist.jp/data/china/image_1882th/76356670.pdf","76356670")</f>
        <v>76356670</v>
      </c>
      <c r="F2521" s="6" t="s">
        <v>6901</v>
      </c>
      <c r="G2521" s="6" t="s">
        <v>6797</v>
      </c>
      <c r="H2521" s="8" t="s">
        <v>6902</v>
      </c>
      <c r="I2521" s="14">
        <v>45303</v>
      </c>
    </row>
    <row r="2522" spans="1:9" x14ac:dyDescent="0.15">
      <c r="A2522" s="5">
        <v>2521</v>
      </c>
      <c r="B2522" s="6" t="s">
        <v>9</v>
      </c>
      <c r="C2522" s="7">
        <v>1882</v>
      </c>
      <c r="D2522" s="8">
        <v>45388</v>
      </c>
      <c r="E2522" s="9" t="str">
        <f>+HYPERLINK("http://trademark.i-assist.jp/data/china/image_1882th/76356936.pdf","76356936")</f>
        <v>76356936</v>
      </c>
      <c r="F2522" s="6" t="s">
        <v>6903</v>
      </c>
      <c r="G2522" s="6" t="s">
        <v>6904</v>
      </c>
      <c r="H2522" s="8" t="s">
        <v>6905</v>
      </c>
      <c r="I2522" s="14">
        <v>45303</v>
      </c>
    </row>
    <row r="2523" spans="1:9" x14ac:dyDescent="0.15">
      <c r="A2523" s="5">
        <v>2522</v>
      </c>
      <c r="B2523" s="6" t="s">
        <v>9</v>
      </c>
      <c r="C2523" s="7">
        <v>1882</v>
      </c>
      <c r="D2523" s="8">
        <v>45388</v>
      </c>
      <c r="E2523" s="9" t="str">
        <f>+HYPERLINK("http://trademark.i-assist.jp/data/china/image_1882th/76357057.pdf","76357057")</f>
        <v>76357057</v>
      </c>
      <c r="F2523" s="6" t="s">
        <v>6906</v>
      </c>
      <c r="G2523" s="6" t="s">
        <v>6907</v>
      </c>
      <c r="H2523" s="8" t="s">
        <v>6908</v>
      </c>
      <c r="I2523" s="14">
        <v>45303</v>
      </c>
    </row>
    <row r="2524" spans="1:9" x14ac:dyDescent="0.15">
      <c r="A2524" s="5">
        <v>2523</v>
      </c>
      <c r="B2524" s="6" t="s">
        <v>9</v>
      </c>
      <c r="C2524" s="7">
        <v>1882</v>
      </c>
      <c r="D2524" s="8">
        <v>45388</v>
      </c>
      <c r="E2524" s="9" t="str">
        <f>+HYPERLINK("http://trademark.i-assist.jp/data/china/image_1882th/76357120.pdf","76357120")</f>
        <v>76357120</v>
      </c>
      <c r="F2524" s="6" t="s">
        <v>6909</v>
      </c>
      <c r="G2524" s="6" t="s">
        <v>4332</v>
      </c>
      <c r="H2524" s="8" t="s">
        <v>6910</v>
      </c>
      <c r="I2524" s="14">
        <v>45303</v>
      </c>
    </row>
    <row r="2525" spans="1:9" x14ac:dyDescent="0.15">
      <c r="A2525" s="5">
        <v>2524</v>
      </c>
      <c r="B2525" s="6" t="s">
        <v>9</v>
      </c>
      <c r="C2525" s="7">
        <v>1882</v>
      </c>
      <c r="D2525" s="8">
        <v>45388</v>
      </c>
      <c r="E2525" s="9" t="str">
        <f>+HYPERLINK("http://trademark.i-assist.jp/data/china/image_1882th/76357125.pdf","76357125")</f>
        <v>76357125</v>
      </c>
      <c r="F2525" s="6" t="s">
        <v>6911</v>
      </c>
      <c r="G2525" s="6" t="s">
        <v>6912</v>
      </c>
      <c r="H2525" s="8" t="s">
        <v>6913</v>
      </c>
      <c r="I2525" s="14">
        <v>45303</v>
      </c>
    </row>
    <row r="2526" spans="1:9" x14ac:dyDescent="0.15">
      <c r="A2526" s="5">
        <v>2525</v>
      </c>
      <c r="B2526" s="6" t="s">
        <v>9</v>
      </c>
      <c r="C2526" s="7">
        <v>1882</v>
      </c>
      <c r="D2526" s="8">
        <v>45388</v>
      </c>
      <c r="E2526" s="9" t="str">
        <f>+HYPERLINK("http://trademark.i-assist.jp/data/china/image_1882th/76357420.pdf","76357420")</f>
        <v>76357420</v>
      </c>
      <c r="F2526" s="6" t="s">
        <v>6914</v>
      </c>
      <c r="G2526" s="6" t="s">
        <v>6915</v>
      </c>
      <c r="H2526" s="8" t="s">
        <v>6916</v>
      </c>
      <c r="I2526" s="14">
        <v>45303</v>
      </c>
    </row>
    <row r="2527" spans="1:9" x14ac:dyDescent="0.15">
      <c r="A2527" s="5">
        <v>2526</v>
      </c>
      <c r="B2527" s="6" t="s">
        <v>9</v>
      </c>
      <c r="C2527" s="7">
        <v>1882</v>
      </c>
      <c r="D2527" s="8">
        <v>45388</v>
      </c>
      <c r="E2527" s="9" t="str">
        <f>+HYPERLINK("http://trademark.i-assist.jp/data/china/image_1882th/76357443.pdf","76357443")</f>
        <v>76357443</v>
      </c>
      <c r="F2527" s="6" t="s">
        <v>6917</v>
      </c>
      <c r="G2527" s="6" t="s">
        <v>6918</v>
      </c>
      <c r="H2527" s="8" t="s">
        <v>6919</v>
      </c>
      <c r="I2527" s="14">
        <v>45303</v>
      </c>
    </row>
    <row r="2528" spans="1:9" x14ac:dyDescent="0.15">
      <c r="A2528" s="5">
        <v>2527</v>
      </c>
      <c r="B2528" s="6" t="s">
        <v>9</v>
      </c>
      <c r="C2528" s="7">
        <v>1882</v>
      </c>
      <c r="D2528" s="8">
        <v>45388</v>
      </c>
      <c r="E2528" s="9" t="str">
        <f>+HYPERLINK("http://trademark.i-assist.jp/data/china/image_1882th/76357699.pdf","76357699")</f>
        <v>76357699</v>
      </c>
      <c r="F2528" s="6" t="s">
        <v>6920</v>
      </c>
      <c r="G2528" s="6" t="s">
        <v>6921</v>
      </c>
      <c r="H2528" s="8" t="s">
        <v>6922</v>
      </c>
      <c r="I2528" s="14">
        <v>45303</v>
      </c>
    </row>
    <row r="2529" spans="1:9" x14ac:dyDescent="0.15">
      <c r="A2529" s="5">
        <v>2528</v>
      </c>
      <c r="B2529" s="6" t="s">
        <v>9</v>
      </c>
      <c r="C2529" s="7">
        <v>1882</v>
      </c>
      <c r="D2529" s="8">
        <v>45388</v>
      </c>
      <c r="E2529" s="9" t="str">
        <f>+HYPERLINK("http://trademark.i-assist.jp/data/china/image_1882th/76357731.pdf","76357731")</f>
        <v>76357731</v>
      </c>
      <c r="F2529" s="6" t="s">
        <v>6923</v>
      </c>
      <c r="G2529" s="6" t="s">
        <v>6924</v>
      </c>
      <c r="H2529" s="8" t="s">
        <v>6925</v>
      </c>
      <c r="I2529" s="14">
        <v>45303</v>
      </c>
    </row>
    <row r="2530" spans="1:9" x14ac:dyDescent="0.15">
      <c r="A2530" s="5">
        <v>2529</v>
      </c>
      <c r="B2530" s="6" t="s">
        <v>9</v>
      </c>
      <c r="C2530" s="7">
        <v>1882</v>
      </c>
      <c r="D2530" s="8">
        <v>45388</v>
      </c>
      <c r="E2530" s="9" t="str">
        <f>+HYPERLINK("http://trademark.i-assist.jp/data/china/image_1882th/76357789.pdf","76357789")</f>
        <v>76357789</v>
      </c>
      <c r="F2530" s="6" t="s">
        <v>6926</v>
      </c>
      <c r="G2530" s="6" t="s">
        <v>6927</v>
      </c>
      <c r="H2530" s="8" t="s">
        <v>6928</v>
      </c>
      <c r="I2530" s="14">
        <v>45303</v>
      </c>
    </row>
    <row r="2531" spans="1:9" x14ac:dyDescent="0.15">
      <c r="A2531" s="5">
        <v>2530</v>
      </c>
      <c r="B2531" s="6" t="s">
        <v>9</v>
      </c>
      <c r="C2531" s="7">
        <v>1882</v>
      </c>
      <c r="D2531" s="8">
        <v>45388</v>
      </c>
      <c r="E2531" s="9" t="str">
        <f>+HYPERLINK("http://trademark.i-assist.jp/data/china/image_1882th/76357875.pdf","76357875")</f>
        <v>76357875</v>
      </c>
      <c r="F2531" s="6" t="s">
        <v>6929</v>
      </c>
      <c r="G2531" s="6" t="s">
        <v>6785</v>
      </c>
      <c r="H2531" s="8" t="s">
        <v>6930</v>
      </c>
      <c r="I2531" s="14">
        <v>45303</v>
      </c>
    </row>
    <row r="2532" spans="1:9" x14ac:dyDescent="0.15">
      <c r="A2532" s="5">
        <v>2531</v>
      </c>
      <c r="B2532" s="6" t="s">
        <v>9</v>
      </c>
      <c r="C2532" s="7">
        <v>1882</v>
      </c>
      <c r="D2532" s="8">
        <v>45388</v>
      </c>
      <c r="E2532" s="9" t="str">
        <f>+HYPERLINK("http://trademark.i-assist.jp/data/china/image_1882th/76358138.pdf","76358138")</f>
        <v>76358138</v>
      </c>
      <c r="F2532" s="6" t="s">
        <v>6931</v>
      </c>
      <c r="G2532" s="6" t="s">
        <v>6899</v>
      </c>
      <c r="H2532" s="8" t="s">
        <v>6932</v>
      </c>
      <c r="I2532" s="14">
        <v>45303</v>
      </c>
    </row>
    <row r="2533" spans="1:9" x14ac:dyDescent="0.15">
      <c r="A2533" s="5">
        <v>2532</v>
      </c>
      <c r="B2533" s="6" t="s">
        <v>9</v>
      </c>
      <c r="C2533" s="7">
        <v>1882</v>
      </c>
      <c r="D2533" s="8">
        <v>45388</v>
      </c>
      <c r="E2533" s="9" t="str">
        <f>+HYPERLINK("http://trademark.i-assist.jp/data/china/image_1882th/76358709.pdf","76358709")</f>
        <v>76358709</v>
      </c>
      <c r="F2533" s="6" t="s">
        <v>6933</v>
      </c>
      <c r="G2533" s="6" t="s">
        <v>6934</v>
      </c>
      <c r="H2533" s="8" t="s">
        <v>6935</v>
      </c>
      <c r="I2533" s="14">
        <v>45303</v>
      </c>
    </row>
    <row r="2534" spans="1:9" x14ac:dyDescent="0.15">
      <c r="A2534" s="5">
        <v>2533</v>
      </c>
      <c r="B2534" s="6" t="s">
        <v>9</v>
      </c>
      <c r="C2534" s="7">
        <v>1882</v>
      </c>
      <c r="D2534" s="8">
        <v>45388</v>
      </c>
      <c r="E2534" s="9" t="str">
        <f>+HYPERLINK("http://trademark.i-assist.jp/data/china/image_1882th/76358953.pdf","76358953")</f>
        <v>76358953</v>
      </c>
      <c r="F2534" s="6" t="s">
        <v>6936</v>
      </c>
      <c r="G2534" s="6" t="s">
        <v>6937</v>
      </c>
      <c r="H2534" s="8" t="s">
        <v>6938</v>
      </c>
      <c r="I2534" s="14">
        <v>45303</v>
      </c>
    </row>
    <row r="2535" spans="1:9" x14ac:dyDescent="0.15">
      <c r="A2535" s="5">
        <v>2534</v>
      </c>
      <c r="B2535" s="6" t="s">
        <v>9</v>
      </c>
      <c r="C2535" s="7">
        <v>1882</v>
      </c>
      <c r="D2535" s="8">
        <v>45388</v>
      </c>
      <c r="E2535" s="9" t="str">
        <f>+HYPERLINK("http://trademark.i-assist.jp/data/china/image_1882th/76359513.pdf","76359513")</f>
        <v>76359513</v>
      </c>
      <c r="F2535" s="6" t="s">
        <v>6939</v>
      </c>
      <c r="G2535" s="6" t="s">
        <v>6940</v>
      </c>
      <c r="H2535" s="8" t="s">
        <v>6941</v>
      </c>
      <c r="I2535" s="14">
        <v>45303</v>
      </c>
    </row>
    <row r="2536" spans="1:9" x14ac:dyDescent="0.15">
      <c r="A2536" s="5">
        <v>2535</v>
      </c>
      <c r="B2536" s="6" t="s">
        <v>9</v>
      </c>
      <c r="C2536" s="7">
        <v>1882</v>
      </c>
      <c r="D2536" s="8">
        <v>45388</v>
      </c>
      <c r="E2536" s="9" t="str">
        <f>+HYPERLINK("http://trademark.i-assist.jp/data/china/image_1882th/76360067.pdf","76360067")</f>
        <v>76360067</v>
      </c>
      <c r="F2536" s="6" t="s">
        <v>6942</v>
      </c>
      <c r="G2536" s="6" t="s">
        <v>6943</v>
      </c>
      <c r="H2536" s="8" t="s">
        <v>6944</v>
      </c>
      <c r="I2536" s="14">
        <v>45303</v>
      </c>
    </row>
    <row r="2537" spans="1:9" x14ac:dyDescent="0.15">
      <c r="A2537" s="5">
        <v>2536</v>
      </c>
      <c r="B2537" s="6" t="s">
        <v>9</v>
      </c>
      <c r="C2537" s="7">
        <v>1882</v>
      </c>
      <c r="D2537" s="8">
        <v>45388</v>
      </c>
      <c r="E2537" s="9" t="str">
        <f>+HYPERLINK("http://trademark.i-assist.jp/data/china/image_1882th/76360077.pdf","76360077")</f>
        <v>76360077</v>
      </c>
      <c r="F2537" s="6" t="s">
        <v>6945</v>
      </c>
      <c r="G2537" s="6" t="s">
        <v>6946</v>
      </c>
      <c r="H2537" s="8" t="s">
        <v>6947</v>
      </c>
      <c r="I2537" s="14">
        <v>45303</v>
      </c>
    </row>
    <row r="2538" spans="1:9" x14ac:dyDescent="0.15">
      <c r="A2538" s="5">
        <v>2537</v>
      </c>
      <c r="B2538" s="6" t="s">
        <v>9</v>
      </c>
      <c r="C2538" s="7">
        <v>1882</v>
      </c>
      <c r="D2538" s="8">
        <v>45388</v>
      </c>
      <c r="E2538" s="9" t="str">
        <f>+HYPERLINK("http://trademark.i-assist.jp/data/china/image_1882th/76360395.pdf","76360395")</f>
        <v>76360395</v>
      </c>
      <c r="F2538" s="6" t="s">
        <v>6948</v>
      </c>
      <c r="G2538" s="6" t="s">
        <v>6949</v>
      </c>
      <c r="H2538" s="8" t="s">
        <v>6950</v>
      </c>
      <c r="I2538" s="14">
        <v>45303</v>
      </c>
    </row>
    <row r="2539" spans="1:9" x14ac:dyDescent="0.15">
      <c r="A2539" s="5">
        <v>2538</v>
      </c>
      <c r="B2539" s="6" t="s">
        <v>9</v>
      </c>
      <c r="C2539" s="7">
        <v>1882</v>
      </c>
      <c r="D2539" s="8">
        <v>45388</v>
      </c>
      <c r="E2539" s="9" t="str">
        <f>+HYPERLINK("http://trademark.i-assist.jp/data/china/image_1882th/76360398.pdf","76360398")</f>
        <v>76360398</v>
      </c>
      <c r="F2539" s="6" t="s">
        <v>6951</v>
      </c>
      <c r="G2539" s="6" t="s">
        <v>6952</v>
      </c>
      <c r="H2539" s="8" t="s">
        <v>6953</v>
      </c>
      <c r="I2539" s="14">
        <v>45303</v>
      </c>
    </row>
    <row r="2540" spans="1:9" x14ac:dyDescent="0.15">
      <c r="A2540" s="5">
        <v>2539</v>
      </c>
      <c r="B2540" s="6" t="s">
        <v>9</v>
      </c>
      <c r="C2540" s="7">
        <v>1882</v>
      </c>
      <c r="D2540" s="8">
        <v>45388</v>
      </c>
      <c r="E2540" s="9" t="str">
        <f>+HYPERLINK("http://trademark.i-assist.jp/data/china/image_1882th/76360894.pdf","76360894")</f>
        <v>76360894</v>
      </c>
      <c r="F2540" s="6" t="s">
        <v>6954</v>
      </c>
      <c r="G2540" s="6" t="s">
        <v>6808</v>
      </c>
      <c r="H2540" s="8" t="s">
        <v>6955</v>
      </c>
      <c r="I2540" s="14">
        <v>45303</v>
      </c>
    </row>
    <row r="2541" spans="1:9" x14ac:dyDescent="0.15">
      <c r="A2541" s="5">
        <v>2540</v>
      </c>
      <c r="B2541" s="6" t="s">
        <v>9</v>
      </c>
      <c r="C2541" s="7">
        <v>1882</v>
      </c>
      <c r="D2541" s="8">
        <v>45388</v>
      </c>
      <c r="E2541" s="9" t="str">
        <f>+HYPERLINK("http://trademark.i-assist.jp/data/china/image_1882th/76360912.pdf","76360912")</f>
        <v>76360912</v>
      </c>
      <c r="F2541" s="6" t="s">
        <v>6956</v>
      </c>
      <c r="G2541" s="6" t="s">
        <v>6957</v>
      </c>
      <c r="H2541" s="8" t="s">
        <v>6958</v>
      </c>
      <c r="I2541" s="14">
        <v>45303</v>
      </c>
    </row>
    <row r="2542" spans="1:9" x14ac:dyDescent="0.15">
      <c r="A2542" s="5">
        <v>2541</v>
      </c>
      <c r="B2542" s="6" t="s">
        <v>9</v>
      </c>
      <c r="C2542" s="7">
        <v>1882</v>
      </c>
      <c r="D2542" s="8">
        <v>45388</v>
      </c>
      <c r="E2542" s="9" t="str">
        <f>+HYPERLINK("http://trademark.i-assist.jp/data/china/image_1882th/76360987.pdf","76360987")</f>
        <v>76360987</v>
      </c>
      <c r="F2542" s="6" t="s">
        <v>6959</v>
      </c>
      <c r="G2542" s="6" t="s">
        <v>6960</v>
      </c>
      <c r="H2542" s="8" t="s">
        <v>6961</v>
      </c>
      <c r="I2542" s="14">
        <v>45303</v>
      </c>
    </row>
    <row r="2543" spans="1:9" x14ac:dyDescent="0.15">
      <c r="A2543" s="5">
        <v>2542</v>
      </c>
      <c r="B2543" s="6" t="s">
        <v>9</v>
      </c>
      <c r="C2543" s="7">
        <v>1882</v>
      </c>
      <c r="D2543" s="8">
        <v>45388</v>
      </c>
      <c r="E2543" s="9" t="str">
        <f>+HYPERLINK("http://trademark.i-assist.jp/data/china/image_1882th/76360996.pdf","76360996")</f>
        <v>76360996</v>
      </c>
      <c r="F2543" s="6" t="s">
        <v>6962</v>
      </c>
      <c r="G2543" s="6" t="s">
        <v>6960</v>
      </c>
      <c r="H2543" s="8" t="s">
        <v>6963</v>
      </c>
      <c r="I2543" s="14">
        <v>45303</v>
      </c>
    </row>
    <row r="2544" spans="1:9" x14ac:dyDescent="0.15">
      <c r="A2544" s="5">
        <v>2543</v>
      </c>
      <c r="B2544" s="6" t="s">
        <v>9</v>
      </c>
      <c r="C2544" s="7">
        <v>1882</v>
      </c>
      <c r="D2544" s="8">
        <v>45388</v>
      </c>
      <c r="E2544" s="9" t="str">
        <f>+HYPERLINK("http://trademark.i-assist.jp/data/china/image_1882th/76361121.pdf","76361121")</f>
        <v>76361121</v>
      </c>
      <c r="F2544" s="6" t="s">
        <v>6964</v>
      </c>
      <c r="G2544" s="6" t="s">
        <v>6965</v>
      </c>
      <c r="H2544" s="8" t="s">
        <v>6966</v>
      </c>
      <c r="I2544" s="14">
        <v>45303</v>
      </c>
    </row>
    <row r="2545" spans="1:9" x14ac:dyDescent="0.15">
      <c r="A2545" s="5">
        <v>2544</v>
      </c>
      <c r="B2545" s="6" t="s">
        <v>9</v>
      </c>
      <c r="C2545" s="7">
        <v>1882</v>
      </c>
      <c r="D2545" s="8">
        <v>45388</v>
      </c>
      <c r="E2545" s="9" t="str">
        <f>+HYPERLINK("http://trademark.i-assist.jp/data/china/image_1882th/76361357.pdf","76361357")</f>
        <v>76361357</v>
      </c>
      <c r="F2545" s="6" t="s">
        <v>6967</v>
      </c>
      <c r="G2545" s="6" t="s">
        <v>4969</v>
      </c>
      <c r="H2545" s="8" t="s">
        <v>6968</v>
      </c>
      <c r="I2545" s="14">
        <v>45303</v>
      </c>
    </row>
    <row r="2546" spans="1:9" x14ac:dyDescent="0.15">
      <c r="A2546" s="5">
        <v>2545</v>
      </c>
      <c r="B2546" s="6" t="s">
        <v>9</v>
      </c>
      <c r="C2546" s="7">
        <v>1882</v>
      </c>
      <c r="D2546" s="8">
        <v>45388</v>
      </c>
      <c r="E2546" s="9" t="str">
        <f>+HYPERLINK("http://trademark.i-assist.jp/data/china/image_1882th/76361392.pdf","76361392")</f>
        <v>76361392</v>
      </c>
      <c r="F2546" s="6" t="s">
        <v>6969</v>
      </c>
      <c r="G2546" s="6" t="s">
        <v>6970</v>
      </c>
      <c r="H2546" s="8" t="s">
        <v>6971</v>
      </c>
      <c r="I2546" s="14">
        <v>45303</v>
      </c>
    </row>
    <row r="2547" spans="1:9" x14ac:dyDescent="0.15">
      <c r="A2547" s="5">
        <v>2546</v>
      </c>
      <c r="B2547" s="6" t="s">
        <v>9</v>
      </c>
      <c r="C2547" s="7">
        <v>1882</v>
      </c>
      <c r="D2547" s="8">
        <v>45388</v>
      </c>
      <c r="E2547" s="9" t="str">
        <f>+HYPERLINK("http://trademark.i-assist.jp/data/china/image_1882th/76361410.pdf","76361410")</f>
        <v>76361410</v>
      </c>
      <c r="F2547" s="6" t="s">
        <v>6972</v>
      </c>
      <c r="G2547" s="6" t="s">
        <v>6973</v>
      </c>
      <c r="H2547" s="8" t="s">
        <v>6974</v>
      </c>
      <c r="I2547" s="14">
        <v>45303</v>
      </c>
    </row>
    <row r="2548" spans="1:9" x14ac:dyDescent="0.15">
      <c r="A2548" s="5">
        <v>2547</v>
      </c>
      <c r="B2548" s="6" t="s">
        <v>9</v>
      </c>
      <c r="C2548" s="7">
        <v>1882</v>
      </c>
      <c r="D2548" s="8">
        <v>45388</v>
      </c>
      <c r="E2548" s="9" t="str">
        <f>+HYPERLINK("http://trademark.i-assist.jp/data/china/image_1882th/76361797.pdf","76361797")</f>
        <v>76361797</v>
      </c>
      <c r="F2548" s="6" t="s">
        <v>6975</v>
      </c>
      <c r="G2548" s="6" t="s">
        <v>6904</v>
      </c>
      <c r="H2548" s="8" t="s">
        <v>6976</v>
      </c>
      <c r="I2548" s="14">
        <v>45303</v>
      </c>
    </row>
    <row r="2549" spans="1:9" x14ac:dyDescent="0.15">
      <c r="A2549" s="5">
        <v>2548</v>
      </c>
      <c r="B2549" s="6" t="s">
        <v>9</v>
      </c>
      <c r="C2549" s="7">
        <v>1882</v>
      </c>
      <c r="D2549" s="8">
        <v>45388</v>
      </c>
      <c r="E2549" s="9" t="str">
        <f>+HYPERLINK("http://trademark.i-assist.jp/data/china/image_1882th/76361820.pdf","76361820")</f>
        <v>76361820</v>
      </c>
      <c r="F2549" s="6" t="s">
        <v>6977</v>
      </c>
      <c r="G2549" s="6" t="s">
        <v>6883</v>
      </c>
      <c r="H2549" s="8" t="s">
        <v>6978</v>
      </c>
      <c r="I2549" s="14">
        <v>45303</v>
      </c>
    </row>
    <row r="2550" spans="1:9" x14ac:dyDescent="0.15">
      <c r="A2550" s="5">
        <v>2549</v>
      </c>
      <c r="B2550" s="6" t="s">
        <v>9</v>
      </c>
      <c r="C2550" s="7">
        <v>1882</v>
      </c>
      <c r="D2550" s="8">
        <v>45388</v>
      </c>
      <c r="E2550" s="9" t="str">
        <f>+HYPERLINK("http://trademark.i-assist.jp/data/china/image_1882th/76361825.pdf","76361825")</f>
        <v>76361825</v>
      </c>
      <c r="F2550" s="6" t="s">
        <v>26</v>
      </c>
      <c r="G2550" s="6" t="s">
        <v>6979</v>
      </c>
      <c r="H2550" s="8" t="s">
        <v>6980</v>
      </c>
      <c r="I2550" s="14">
        <v>45303</v>
      </c>
    </row>
    <row r="2551" spans="1:9" x14ac:dyDescent="0.15">
      <c r="A2551" s="5">
        <v>2550</v>
      </c>
      <c r="B2551" s="6" t="s">
        <v>9</v>
      </c>
      <c r="C2551" s="7">
        <v>1882</v>
      </c>
      <c r="D2551" s="8">
        <v>45388</v>
      </c>
      <c r="E2551" s="9" t="str">
        <f>+HYPERLINK("http://trademark.i-assist.jp/data/china/image_1882th/76361860.pdf","76361860")</f>
        <v>76361860</v>
      </c>
      <c r="F2551" s="6" t="s">
        <v>26</v>
      </c>
      <c r="G2551" s="6" t="s">
        <v>6981</v>
      </c>
      <c r="H2551" s="8" t="s">
        <v>6982</v>
      </c>
      <c r="I2551" s="14">
        <v>45303</v>
      </c>
    </row>
    <row r="2552" spans="1:9" x14ac:dyDescent="0.15">
      <c r="A2552" s="5">
        <v>2551</v>
      </c>
      <c r="B2552" s="6" t="s">
        <v>9</v>
      </c>
      <c r="C2552" s="7">
        <v>1882</v>
      </c>
      <c r="D2552" s="8">
        <v>45388</v>
      </c>
      <c r="E2552" s="9" t="str">
        <f>+HYPERLINK("http://trademark.i-assist.jp/data/china/image_1882th/76362153.pdf","76362153")</f>
        <v>76362153</v>
      </c>
      <c r="F2552" s="6" t="s">
        <v>6983</v>
      </c>
      <c r="G2552" s="6" t="s">
        <v>6984</v>
      </c>
      <c r="H2552" s="8" t="s">
        <v>6985</v>
      </c>
      <c r="I2552" s="14">
        <v>45303</v>
      </c>
    </row>
    <row r="2553" spans="1:9" x14ac:dyDescent="0.15">
      <c r="A2553" s="5">
        <v>2552</v>
      </c>
      <c r="B2553" s="6" t="s">
        <v>9</v>
      </c>
      <c r="C2553" s="7">
        <v>1882</v>
      </c>
      <c r="D2553" s="8">
        <v>45388</v>
      </c>
      <c r="E2553" s="9" t="str">
        <f>+HYPERLINK("http://trademark.i-assist.jp/data/china/image_1882th/76362474.pdf","76362474")</f>
        <v>76362474</v>
      </c>
      <c r="F2553" s="6" t="s">
        <v>6986</v>
      </c>
      <c r="G2553" s="6" t="s">
        <v>6987</v>
      </c>
      <c r="H2553" s="8" t="s">
        <v>6988</v>
      </c>
      <c r="I2553" s="14">
        <v>45303</v>
      </c>
    </row>
    <row r="2554" spans="1:9" x14ac:dyDescent="0.15">
      <c r="A2554" s="5">
        <v>2553</v>
      </c>
      <c r="B2554" s="6" t="s">
        <v>9</v>
      </c>
      <c r="C2554" s="7">
        <v>1882</v>
      </c>
      <c r="D2554" s="8">
        <v>45388</v>
      </c>
      <c r="E2554" s="9" t="str">
        <f>+HYPERLINK("http://trademark.i-assist.jp/data/china/image_1882th/76362867.pdf","76362867")</f>
        <v>76362867</v>
      </c>
      <c r="F2554" s="6" t="s">
        <v>6989</v>
      </c>
      <c r="G2554" s="6" t="s">
        <v>6990</v>
      </c>
      <c r="H2554" s="8" t="s">
        <v>6991</v>
      </c>
      <c r="I2554" s="14">
        <v>45303</v>
      </c>
    </row>
    <row r="2555" spans="1:9" x14ac:dyDescent="0.15">
      <c r="A2555" s="5">
        <v>2554</v>
      </c>
      <c r="B2555" s="6" t="s">
        <v>9</v>
      </c>
      <c r="C2555" s="7">
        <v>1882</v>
      </c>
      <c r="D2555" s="8">
        <v>45388</v>
      </c>
      <c r="E2555" s="9" t="str">
        <f>+HYPERLINK("http://trademark.i-assist.jp/data/china/image_1882th/76362908.pdf","76362908")</f>
        <v>76362908</v>
      </c>
      <c r="F2555" s="6" t="s">
        <v>6992</v>
      </c>
      <c r="G2555" s="6" t="s">
        <v>6993</v>
      </c>
      <c r="H2555" s="8" t="s">
        <v>6994</v>
      </c>
      <c r="I2555" s="14">
        <v>45303</v>
      </c>
    </row>
    <row r="2556" spans="1:9" x14ac:dyDescent="0.15">
      <c r="A2556" s="5">
        <v>2555</v>
      </c>
      <c r="B2556" s="6" t="s">
        <v>9</v>
      </c>
      <c r="C2556" s="7">
        <v>1882</v>
      </c>
      <c r="D2556" s="8">
        <v>45388</v>
      </c>
      <c r="E2556" s="9" t="str">
        <f>+HYPERLINK("http://trademark.i-assist.jp/data/china/image_1882th/76363184.pdf","76363184")</f>
        <v>76363184</v>
      </c>
      <c r="F2556" s="6" t="s">
        <v>6995</v>
      </c>
      <c r="G2556" s="6" t="s">
        <v>1556</v>
      </c>
      <c r="H2556" s="8" t="s">
        <v>6996</v>
      </c>
      <c r="I2556" s="14">
        <v>45303</v>
      </c>
    </row>
    <row r="2557" spans="1:9" x14ac:dyDescent="0.15">
      <c r="A2557" s="5">
        <v>2556</v>
      </c>
      <c r="B2557" s="6" t="s">
        <v>9</v>
      </c>
      <c r="C2557" s="7">
        <v>1882</v>
      </c>
      <c r="D2557" s="8">
        <v>45388</v>
      </c>
      <c r="E2557" s="9" t="str">
        <f>+HYPERLINK("http://trademark.i-assist.jp/data/china/image_1882th/76363210.pdf","76363210")</f>
        <v>76363210</v>
      </c>
      <c r="F2557" s="6" t="s">
        <v>6997</v>
      </c>
      <c r="G2557" s="6" t="s">
        <v>1556</v>
      </c>
      <c r="H2557" s="8" t="s">
        <v>6998</v>
      </c>
      <c r="I2557" s="14">
        <v>45303</v>
      </c>
    </row>
    <row r="2558" spans="1:9" x14ac:dyDescent="0.15">
      <c r="A2558" s="5">
        <v>2557</v>
      </c>
      <c r="B2558" s="6" t="s">
        <v>9</v>
      </c>
      <c r="C2558" s="7">
        <v>1882</v>
      </c>
      <c r="D2558" s="8">
        <v>45388</v>
      </c>
      <c r="E2558" s="9" t="str">
        <f>+HYPERLINK("http://trademark.i-assist.jp/data/china/image_1882th/76363437.pdf","76363437")</f>
        <v>76363437</v>
      </c>
      <c r="F2558" s="6" t="s">
        <v>6999</v>
      </c>
      <c r="G2558" s="6" t="s">
        <v>3743</v>
      </c>
      <c r="H2558" s="8" t="s">
        <v>7000</v>
      </c>
      <c r="I2558" s="14">
        <v>45303</v>
      </c>
    </row>
    <row r="2559" spans="1:9" x14ac:dyDescent="0.15">
      <c r="A2559" s="5">
        <v>2558</v>
      </c>
      <c r="B2559" s="6" t="s">
        <v>9</v>
      </c>
      <c r="C2559" s="7">
        <v>1882</v>
      </c>
      <c r="D2559" s="8">
        <v>45388</v>
      </c>
      <c r="E2559" s="9" t="str">
        <f>+HYPERLINK("http://trademark.i-assist.jp/data/china/image_1882th/76363456.pdf","76363456")</f>
        <v>76363456</v>
      </c>
      <c r="F2559" s="6" t="s">
        <v>7001</v>
      </c>
      <c r="G2559" s="6" t="s">
        <v>7002</v>
      </c>
      <c r="H2559" s="8" t="s">
        <v>7003</v>
      </c>
      <c r="I2559" s="14">
        <v>45303</v>
      </c>
    </row>
    <row r="2560" spans="1:9" x14ac:dyDescent="0.15">
      <c r="A2560" s="5">
        <v>2559</v>
      </c>
      <c r="B2560" s="6" t="s">
        <v>9</v>
      </c>
      <c r="C2560" s="7">
        <v>1882</v>
      </c>
      <c r="D2560" s="8">
        <v>45388</v>
      </c>
      <c r="E2560" s="9" t="str">
        <f>+HYPERLINK("http://trademark.i-assist.jp/data/china/image_1882th/76363519.pdf","76363519")</f>
        <v>76363519</v>
      </c>
      <c r="F2560" s="6" t="s">
        <v>7004</v>
      </c>
      <c r="G2560" s="6" t="s">
        <v>7005</v>
      </c>
      <c r="H2560" s="8" t="s">
        <v>7006</v>
      </c>
      <c r="I2560" s="14">
        <v>45303</v>
      </c>
    </row>
    <row r="2561" spans="1:9" x14ac:dyDescent="0.15">
      <c r="A2561" s="5">
        <v>2560</v>
      </c>
      <c r="B2561" s="6" t="s">
        <v>9</v>
      </c>
      <c r="C2561" s="7">
        <v>1882</v>
      </c>
      <c r="D2561" s="8">
        <v>45388</v>
      </c>
      <c r="E2561" s="9" t="str">
        <f>+HYPERLINK("http://trademark.i-assist.jp/data/china/image_1882th/76363659.pdf","76363659")</f>
        <v>76363659</v>
      </c>
      <c r="F2561" s="6" t="s">
        <v>26</v>
      </c>
      <c r="G2561" s="6" t="s">
        <v>7007</v>
      </c>
      <c r="H2561" s="8" t="s">
        <v>7008</v>
      </c>
      <c r="I2561" s="14">
        <v>45303</v>
      </c>
    </row>
    <row r="2562" spans="1:9" x14ac:dyDescent="0.15">
      <c r="A2562" s="5">
        <v>2561</v>
      </c>
      <c r="B2562" s="6" t="s">
        <v>9</v>
      </c>
      <c r="C2562" s="7">
        <v>1882</v>
      </c>
      <c r="D2562" s="8">
        <v>45388</v>
      </c>
      <c r="E2562" s="9" t="str">
        <f>+HYPERLINK("http://trademark.i-assist.jp/data/china/image_1882th/76363723.pdf","76363723")</f>
        <v>76363723</v>
      </c>
      <c r="F2562" s="6" t="s">
        <v>7009</v>
      </c>
      <c r="G2562" s="6" t="s">
        <v>5357</v>
      </c>
      <c r="H2562" s="8" t="s">
        <v>7010</v>
      </c>
      <c r="I2562" s="14">
        <v>45303</v>
      </c>
    </row>
    <row r="2563" spans="1:9" x14ac:dyDescent="0.15">
      <c r="A2563" s="5">
        <v>2562</v>
      </c>
      <c r="B2563" s="6" t="s">
        <v>9</v>
      </c>
      <c r="C2563" s="7">
        <v>1882</v>
      </c>
      <c r="D2563" s="8">
        <v>45388</v>
      </c>
      <c r="E2563" s="9" t="str">
        <f>+HYPERLINK("http://trademark.i-assist.jp/data/china/image_1882th/76363740.pdf","76363740")</f>
        <v>76363740</v>
      </c>
      <c r="F2563" s="6" t="s">
        <v>7011</v>
      </c>
      <c r="G2563" s="6" t="s">
        <v>7012</v>
      </c>
      <c r="H2563" s="8" t="s">
        <v>7013</v>
      </c>
      <c r="I2563" s="14">
        <v>45303</v>
      </c>
    </row>
    <row r="2564" spans="1:9" x14ac:dyDescent="0.15">
      <c r="A2564" s="5">
        <v>2563</v>
      </c>
      <c r="B2564" s="6" t="s">
        <v>9</v>
      </c>
      <c r="C2564" s="7">
        <v>1882</v>
      </c>
      <c r="D2564" s="8">
        <v>45388</v>
      </c>
      <c r="E2564" s="9" t="str">
        <f>+HYPERLINK("http://trademark.i-assist.jp/data/china/image_1882th/76364142.pdf","76364142")</f>
        <v>76364142</v>
      </c>
      <c r="F2564" s="6" t="s">
        <v>7014</v>
      </c>
      <c r="G2564" s="6" t="s">
        <v>6970</v>
      </c>
      <c r="H2564" s="8" t="s">
        <v>7015</v>
      </c>
      <c r="I2564" s="14">
        <v>45303</v>
      </c>
    </row>
    <row r="2565" spans="1:9" x14ac:dyDescent="0.15">
      <c r="A2565" s="5">
        <v>2564</v>
      </c>
      <c r="B2565" s="6" t="s">
        <v>9</v>
      </c>
      <c r="C2565" s="7">
        <v>1882</v>
      </c>
      <c r="D2565" s="8">
        <v>45388</v>
      </c>
      <c r="E2565" s="9" t="str">
        <f>+HYPERLINK("http://trademark.i-assist.jp/data/china/image_1882th/76364194.pdf","76364194")</f>
        <v>76364194</v>
      </c>
      <c r="F2565" s="6" t="s">
        <v>7016</v>
      </c>
      <c r="G2565" s="6" t="s">
        <v>6838</v>
      </c>
      <c r="H2565" s="8" t="s">
        <v>7017</v>
      </c>
      <c r="I2565" s="14">
        <v>45303</v>
      </c>
    </row>
    <row r="2566" spans="1:9" x14ac:dyDescent="0.15">
      <c r="A2566" s="5">
        <v>2565</v>
      </c>
      <c r="B2566" s="6" t="s">
        <v>9</v>
      </c>
      <c r="C2566" s="7">
        <v>1882</v>
      </c>
      <c r="D2566" s="8">
        <v>45388</v>
      </c>
      <c r="E2566" s="9" t="str">
        <f>+HYPERLINK("http://trademark.i-assist.jp/data/china/image_1882th/76364406.pdf","76364406")</f>
        <v>76364406</v>
      </c>
      <c r="F2566" s="6" t="s">
        <v>26</v>
      </c>
      <c r="G2566" s="6" t="s">
        <v>6952</v>
      </c>
      <c r="H2566" s="8" t="s">
        <v>7018</v>
      </c>
      <c r="I2566" s="14">
        <v>45303</v>
      </c>
    </row>
    <row r="2567" spans="1:9" x14ac:dyDescent="0.15">
      <c r="A2567" s="5">
        <v>2566</v>
      </c>
      <c r="B2567" s="6" t="s">
        <v>9</v>
      </c>
      <c r="C2567" s="7">
        <v>1882</v>
      </c>
      <c r="D2567" s="8">
        <v>45388</v>
      </c>
      <c r="E2567" s="9" t="str">
        <f>+HYPERLINK("http://trademark.i-assist.jp/data/china/image_1882th/76364702.pdf","76364702")</f>
        <v>76364702</v>
      </c>
      <c r="F2567" s="6" t="s">
        <v>7019</v>
      </c>
      <c r="G2567" s="6" t="s">
        <v>6808</v>
      </c>
      <c r="H2567" s="8" t="s">
        <v>7020</v>
      </c>
      <c r="I2567" s="14">
        <v>45303</v>
      </c>
    </row>
    <row r="2568" spans="1:9" x14ac:dyDescent="0.15">
      <c r="A2568" s="5">
        <v>2567</v>
      </c>
      <c r="B2568" s="6" t="s">
        <v>9</v>
      </c>
      <c r="C2568" s="7">
        <v>1882</v>
      </c>
      <c r="D2568" s="8">
        <v>45388</v>
      </c>
      <c r="E2568" s="9" t="str">
        <f>+HYPERLINK("http://trademark.i-assist.jp/data/china/image_1882th/76364827.pdf","76364827")</f>
        <v>76364827</v>
      </c>
      <c r="F2568" s="6" t="s">
        <v>7021</v>
      </c>
      <c r="G2568" s="6" t="s">
        <v>7022</v>
      </c>
      <c r="H2568" s="8" t="s">
        <v>7023</v>
      </c>
      <c r="I2568" s="14">
        <v>45306</v>
      </c>
    </row>
    <row r="2569" spans="1:9" x14ac:dyDescent="0.15">
      <c r="A2569" s="5">
        <v>2568</v>
      </c>
      <c r="B2569" s="6" t="s">
        <v>9</v>
      </c>
      <c r="C2569" s="7">
        <v>1882</v>
      </c>
      <c r="D2569" s="8">
        <v>45388</v>
      </c>
      <c r="E2569" s="9" t="str">
        <f>+HYPERLINK("http://trademark.i-assist.jp/data/china/image_1882th/76365026.pdf","76365026")</f>
        <v>76365026</v>
      </c>
      <c r="F2569" s="6" t="s">
        <v>7024</v>
      </c>
      <c r="G2569" s="6" t="s">
        <v>7025</v>
      </c>
      <c r="H2569" s="8" t="s">
        <v>7026</v>
      </c>
      <c r="I2569" s="14">
        <v>45306</v>
      </c>
    </row>
    <row r="2570" spans="1:9" x14ac:dyDescent="0.15">
      <c r="A2570" s="5">
        <v>2569</v>
      </c>
      <c r="B2570" s="6" t="s">
        <v>9</v>
      </c>
      <c r="C2570" s="7">
        <v>1882</v>
      </c>
      <c r="D2570" s="8">
        <v>45388</v>
      </c>
      <c r="E2570" s="9" t="str">
        <f>+HYPERLINK("http://trademark.i-assist.jp/data/china/image_1882th/76365112.pdf","76365112")</f>
        <v>76365112</v>
      </c>
      <c r="F2570" s="6" t="s">
        <v>7027</v>
      </c>
      <c r="G2570" s="6" t="s">
        <v>7028</v>
      </c>
      <c r="H2570" s="8" t="s">
        <v>7029</v>
      </c>
      <c r="I2570" s="14">
        <v>45303</v>
      </c>
    </row>
    <row r="2571" spans="1:9" x14ac:dyDescent="0.15">
      <c r="A2571" s="5">
        <v>2570</v>
      </c>
      <c r="B2571" s="6" t="s">
        <v>9</v>
      </c>
      <c r="C2571" s="7">
        <v>1882</v>
      </c>
      <c r="D2571" s="8">
        <v>45388</v>
      </c>
      <c r="E2571" s="9" t="str">
        <f>+HYPERLINK("http://trademark.i-assist.jp/data/china/image_1882th/76365191.pdf","76365191")</f>
        <v>76365191</v>
      </c>
      <c r="F2571" s="6" t="s">
        <v>26</v>
      </c>
      <c r="G2571" s="6" t="s">
        <v>7030</v>
      </c>
      <c r="H2571" s="8" t="s">
        <v>7031</v>
      </c>
      <c r="I2571" s="14">
        <v>45303</v>
      </c>
    </row>
    <row r="2572" spans="1:9" x14ac:dyDescent="0.15">
      <c r="A2572" s="5">
        <v>2571</v>
      </c>
      <c r="B2572" s="6" t="s">
        <v>9</v>
      </c>
      <c r="C2572" s="7">
        <v>1882</v>
      </c>
      <c r="D2572" s="8">
        <v>45388</v>
      </c>
      <c r="E2572" s="9" t="str">
        <f>+HYPERLINK("http://trademark.i-assist.jp/data/china/image_1882th/76365637.pdf","76365637")</f>
        <v>76365637</v>
      </c>
      <c r="F2572" s="6" t="s">
        <v>26</v>
      </c>
      <c r="G2572" s="6" t="s">
        <v>7032</v>
      </c>
      <c r="H2572" s="8" t="s">
        <v>7033</v>
      </c>
      <c r="I2572" s="14">
        <v>45303</v>
      </c>
    </row>
    <row r="2573" spans="1:9" x14ac:dyDescent="0.15">
      <c r="A2573" s="5">
        <v>2572</v>
      </c>
      <c r="B2573" s="6" t="s">
        <v>9</v>
      </c>
      <c r="C2573" s="7">
        <v>1882</v>
      </c>
      <c r="D2573" s="8">
        <v>45388</v>
      </c>
      <c r="E2573" s="9" t="str">
        <f>+HYPERLINK("http://trademark.i-assist.jp/data/china/image_1882th/76365695.pdf","76365695")</f>
        <v>76365695</v>
      </c>
      <c r="F2573" s="6" t="s">
        <v>7034</v>
      </c>
      <c r="G2573" s="6" t="s">
        <v>6940</v>
      </c>
      <c r="H2573" s="8" t="s">
        <v>7035</v>
      </c>
      <c r="I2573" s="14">
        <v>45303</v>
      </c>
    </row>
    <row r="2574" spans="1:9" x14ac:dyDescent="0.15">
      <c r="A2574" s="5">
        <v>2573</v>
      </c>
      <c r="B2574" s="6" t="s">
        <v>9</v>
      </c>
      <c r="C2574" s="7">
        <v>1882</v>
      </c>
      <c r="D2574" s="8">
        <v>45388</v>
      </c>
      <c r="E2574" s="9" t="str">
        <f>+HYPERLINK("http://trademark.i-assist.jp/data/china/image_1882th/76366185.pdf","76366185")</f>
        <v>76366185</v>
      </c>
      <c r="F2574" s="6" t="s">
        <v>7036</v>
      </c>
      <c r="G2574" s="6" t="s">
        <v>7037</v>
      </c>
      <c r="H2574" s="8" t="s">
        <v>7038</v>
      </c>
      <c r="I2574" s="14">
        <v>45303</v>
      </c>
    </row>
    <row r="2575" spans="1:9" x14ac:dyDescent="0.15">
      <c r="A2575" s="5">
        <v>2574</v>
      </c>
      <c r="B2575" s="6" t="s">
        <v>9</v>
      </c>
      <c r="C2575" s="7">
        <v>1882</v>
      </c>
      <c r="D2575" s="8">
        <v>45388</v>
      </c>
      <c r="E2575" s="9" t="str">
        <f>+HYPERLINK("http://trademark.i-assist.jp/data/china/image_1882th/76366513.pdf","76366513")</f>
        <v>76366513</v>
      </c>
      <c r="F2575" s="6" t="s">
        <v>7039</v>
      </c>
      <c r="G2575" s="6" t="s">
        <v>7040</v>
      </c>
      <c r="H2575" s="8" t="s">
        <v>7041</v>
      </c>
      <c r="I2575" s="14">
        <v>45306</v>
      </c>
    </row>
    <row r="2576" spans="1:9" x14ac:dyDescent="0.15">
      <c r="A2576" s="5">
        <v>2575</v>
      </c>
      <c r="B2576" s="6" t="s">
        <v>9</v>
      </c>
      <c r="C2576" s="7">
        <v>1882</v>
      </c>
      <c r="D2576" s="8">
        <v>45388</v>
      </c>
      <c r="E2576" s="9" t="str">
        <f>+HYPERLINK("http://trademark.i-assist.jp/data/china/image_1882th/76366517.pdf","76366517")</f>
        <v>76366517</v>
      </c>
      <c r="F2576" s="6" t="s">
        <v>7042</v>
      </c>
      <c r="G2576" s="6" t="s">
        <v>7043</v>
      </c>
      <c r="H2576" s="8" t="s">
        <v>7044</v>
      </c>
      <c r="I2576" s="14">
        <v>45306</v>
      </c>
    </row>
    <row r="2577" spans="1:9" x14ac:dyDescent="0.15">
      <c r="A2577" s="5">
        <v>2576</v>
      </c>
      <c r="B2577" s="6" t="s">
        <v>9</v>
      </c>
      <c r="C2577" s="7">
        <v>1882</v>
      </c>
      <c r="D2577" s="8">
        <v>45388</v>
      </c>
      <c r="E2577" s="9" t="str">
        <f>+HYPERLINK("http://trademark.i-assist.jp/data/china/image_1882th/76366981.pdf","76366981")</f>
        <v>76366981</v>
      </c>
      <c r="F2577" s="6" t="s">
        <v>26</v>
      </c>
      <c r="G2577" s="6" t="s">
        <v>7045</v>
      </c>
      <c r="H2577" s="8" t="s">
        <v>7046</v>
      </c>
      <c r="I2577" s="14">
        <v>45303</v>
      </c>
    </row>
    <row r="2578" spans="1:9" x14ac:dyDescent="0.15">
      <c r="A2578" s="5">
        <v>2577</v>
      </c>
      <c r="B2578" s="6" t="s">
        <v>9</v>
      </c>
      <c r="C2578" s="7">
        <v>1882</v>
      </c>
      <c r="D2578" s="8">
        <v>45388</v>
      </c>
      <c r="E2578" s="9" t="str">
        <f>+HYPERLINK("http://trademark.i-assist.jp/data/china/image_1882th/76367039.pdf","76367039")</f>
        <v>76367039</v>
      </c>
      <c r="F2578" s="6" t="s">
        <v>26</v>
      </c>
      <c r="G2578" s="6" t="s">
        <v>7047</v>
      </c>
      <c r="H2578" s="8" t="s">
        <v>7048</v>
      </c>
      <c r="I2578" s="14">
        <v>45303</v>
      </c>
    </row>
    <row r="2579" spans="1:9" x14ac:dyDescent="0.15">
      <c r="A2579" s="5">
        <v>2578</v>
      </c>
      <c r="B2579" s="6" t="s">
        <v>9</v>
      </c>
      <c r="C2579" s="7">
        <v>1882</v>
      </c>
      <c r="D2579" s="8">
        <v>45388</v>
      </c>
      <c r="E2579" s="9" t="str">
        <f>+HYPERLINK("http://trademark.i-assist.jp/data/china/image_1882th/76367343.pdf","76367343")</f>
        <v>76367343</v>
      </c>
      <c r="F2579" s="6" t="s">
        <v>7049</v>
      </c>
      <c r="G2579" s="6" t="s">
        <v>6785</v>
      </c>
      <c r="H2579" s="8" t="s">
        <v>7050</v>
      </c>
      <c r="I2579" s="14">
        <v>45303</v>
      </c>
    </row>
    <row r="2580" spans="1:9" x14ac:dyDescent="0.15">
      <c r="A2580" s="5">
        <v>2579</v>
      </c>
      <c r="B2580" s="6" t="s">
        <v>9</v>
      </c>
      <c r="C2580" s="7">
        <v>1882</v>
      </c>
      <c r="D2580" s="8">
        <v>45388</v>
      </c>
      <c r="E2580" s="9" t="str">
        <f>+HYPERLINK("http://trademark.i-assist.jp/data/china/image_1882th/76367384.pdf","76367384")</f>
        <v>76367384</v>
      </c>
      <c r="F2580" s="6" t="s">
        <v>7051</v>
      </c>
      <c r="G2580" s="6" t="s">
        <v>7052</v>
      </c>
      <c r="H2580" s="8" t="s">
        <v>7053</v>
      </c>
      <c r="I2580" s="14">
        <v>45303</v>
      </c>
    </row>
    <row r="2581" spans="1:9" x14ac:dyDescent="0.15">
      <c r="A2581" s="5">
        <v>2580</v>
      </c>
      <c r="B2581" s="6" t="s">
        <v>9</v>
      </c>
      <c r="C2581" s="7">
        <v>1882</v>
      </c>
      <c r="D2581" s="8">
        <v>45388</v>
      </c>
      <c r="E2581" s="9" t="str">
        <f>+HYPERLINK("http://trademark.i-assist.jp/data/china/image_1882th/76367493.pdf","76367493")</f>
        <v>76367493</v>
      </c>
      <c r="F2581" s="6" t="s">
        <v>7054</v>
      </c>
      <c r="G2581" s="6" t="s">
        <v>6857</v>
      </c>
      <c r="H2581" s="8" t="s">
        <v>7055</v>
      </c>
      <c r="I2581" s="14">
        <v>45303</v>
      </c>
    </row>
    <row r="2582" spans="1:9" x14ac:dyDescent="0.15">
      <c r="A2582" s="5">
        <v>2581</v>
      </c>
      <c r="B2582" s="6" t="s">
        <v>9</v>
      </c>
      <c r="C2582" s="7">
        <v>1882</v>
      </c>
      <c r="D2582" s="8">
        <v>45388</v>
      </c>
      <c r="E2582" s="9" t="str">
        <f>+HYPERLINK("http://trademark.i-assist.jp/data/china/image_1882th/76367635.pdf","76367635")</f>
        <v>76367635</v>
      </c>
      <c r="F2582" s="6" t="s">
        <v>7056</v>
      </c>
      <c r="G2582" s="6" t="s">
        <v>7057</v>
      </c>
      <c r="H2582" s="8" t="s">
        <v>7058</v>
      </c>
      <c r="I2582" s="14">
        <v>45303</v>
      </c>
    </row>
    <row r="2583" spans="1:9" x14ac:dyDescent="0.15">
      <c r="A2583" s="5">
        <v>2582</v>
      </c>
      <c r="B2583" s="6" t="s">
        <v>9</v>
      </c>
      <c r="C2583" s="7">
        <v>1882</v>
      </c>
      <c r="D2583" s="8">
        <v>45388</v>
      </c>
      <c r="E2583" s="9" t="str">
        <f>+HYPERLINK("http://trademark.i-assist.jp/data/china/image_1882th/76367843.pdf","76367843")</f>
        <v>76367843</v>
      </c>
      <c r="F2583" s="6" t="s">
        <v>7059</v>
      </c>
      <c r="G2583" s="6" t="s">
        <v>7060</v>
      </c>
      <c r="H2583" s="8" t="s">
        <v>7061</v>
      </c>
      <c r="I2583" s="14">
        <v>45303</v>
      </c>
    </row>
    <row r="2584" spans="1:9" x14ac:dyDescent="0.15">
      <c r="A2584" s="5">
        <v>2583</v>
      </c>
      <c r="B2584" s="6" t="s">
        <v>9</v>
      </c>
      <c r="C2584" s="7">
        <v>1882</v>
      </c>
      <c r="D2584" s="8">
        <v>45388</v>
      </c>
      <c r="E2584" s="9" t="str">
        <f>+HYPERLINK("http://trademark.i-assist.jp/data/china/image_1882th/76367925.pdf","76367925")</f>
        <v>76367925</v>
      </c>
      <c r="F2584" s="6" t="s">
        <v>7062</v>
      </c>
      <c r="G2584" s="6" t="s">
        <v>6946</v>
      </c>
      <c r="H2584" s="8" t="s">
        <v>7063</v>
      </c>
      <c r="I2584" s="14">
        <v>45303</v>
      </c>
    </row>
    <row r="2585" spans="1:9" x14ac:dyDescent="0.15">
      <c r="A2585" s="5">
        <v>2584</v>
      </c>
      <c r="B2585" s="6" t="s">
        <v>9</v>
      </c>
      <c r="C2585" s="7">
        <v>1882</v>
      </c>
      <c r="D2585" s="8">
        <v>45388</v>
      </c>
      <c r="E2585" s="9" t="str">
        <f>+HYPERLINK("http://trademark.i-assist.jp/data/china/image_1882th/76367946.pdf","76367946")</f>
        <v>76367946</v>
      </c>
      <c r="F2585" s="6" t="s">
        <v>7064</v>
      </c>
      <c r="G2585" s="6" t="s">
        <v>7065</v>
      </c>
      <c r="H2585" s="8" t="s">
        <v>7066</v>
      </c>
      <c r="I2585" s="14">
        <v>45303</v>
      </c>
    </row>
    <row r="2586" spans="1:9" x14ac:dyDescent="0.15">
      <c r="A2586" s="5">
        <v>2585</v>
      </c>
      <c r="B2586" s="6" t="s">
        <v>9</v>
      </c>
      <c r="C2586" s="7">
        <v>1882</v>
      </c>
      <c r="D2586" s="8">
        <v>45388</v>
      </c>
      <c r="E2586" s="9" t="str">
        <f>+HYPERLINK("http://trademark.i-assist.jp/data/china/image_1882th/76368078.pdf","76368078")</f>
        <v>76368078</v>
      </c>
      <c r="F2586" s="6" t="s">
        <v>7067</v>
      </c>
      <c r="G2586" s="6" t="s">
        <v>7068</v>
      </c>
      <c r="H2586" s="8" t="s">
        <v>7069</v>
      </c>
      <c r="I2586" s="14">
        <v>45303</v>
      </c>
    </row>
    <row r="2587" spans="1:9" x14ac:dyDescent="0.15">
      <c r="A2587" s="5">
        <v>2586</v>
      </c>
      <c r="B2587" s="6" t="s">
        <v>9</v>
      </c>
      <c r="C2587" s="7">
        <v>1882</v>
      </c>
      <c r="D2587" s="8">
        <v>45388</v>
      </c>
      <c r="E2587" s="9" t="str">
        <f>+HYPERLINK("http://trademark.i-assist.jp/data/china/image_1882th/76368151.pdf","76368151")</f>
        <v>76368151</v>
      </c>
      <c r="F2587" s="6" t="s">
        <v>7070</v>
      </c>
      <c r="G2587" s="6" t="s">
        <v>7071</v>
      </c>
      <c r="H2587" s="8" t="s">
        <v>7072</v>
      </c>
      <c r="I2587" s="14">
        <v>45303</v>
      </c>
    </row>
    <row r="2588" spans="1:9" x14ac:dyDescent="0.15">
      <c r="A2588" s="5">
        <v>2587</v>
      </c>
      <c r="B2588" s="6" t="s">
        <v>9</v>
      </c>
      <c r="C2588" s="7">
        <v>1882</v>
      </c>
      <c r="D2588" s="8">
        <v>45388</v>
      </c>
      <c r="E2588" s="9" t="str">
        <f>+HYPERLINK("http://trademark.i-assist.jp/data/china/image_1882th/76368256.pdf","76368256")</f>
        <v>76368256</v>
      </c>
      <c r="F2588" s="6" t="s">
        <v>7073</v>
      </c>
      <c r="G2588" s="6" t="s">
        <v>7057</v>
      </c>
      <c r="H2588" s="8" t="s">
        <v>7074</v>
      </c>
      <c r="I2588" s="14">
        <v>45303</v>
      </c>
    </row>
    <row r="2589" spans="1:9" x14ac:dyDescent="0.15">
      <c r="A2589" s="5">
        <v>2588</v>
      </c>
      <c r="B2589" s="6" t="s">
        <v>9</v>
      </c>
      <c r="C2589" s="7">
        <v>1882</v>
      </c>
      <c r="D2589" s="8">
        <v>45388</v>
      </c>
      <c r="E2589" s="9" t="str">
        <f>+HYPERLINK("http://trademark.i-assist.jp/data/china/image_1882th/76368667.pdf","76368667")</f>
        <v>76368667</v>
      </c>
      <c r="F2589" s="6" t="s">
        <v>7075</v>
      </c>
      <c r="G2589" s="6" t="s">
        <v>7076</v>
      </c>
      <c r="H2589" s="8" t="s">
        <v>7077</v>
      </c>
      <c r="I2589" s="14">
        <v>45303</v>
      </c>
    </row>
    <row r="2590" spans="1:9" x14ac:dyDescent="0.15">
      <c r="A2590" s="5">
        <v>2589</v>
      </c>
      <c r="B2590" s="6" t="s">
        <v>9</v>
      </c>
      <c r="C2590" s="7">
        <v>1882</v>
      </c>
      <c r="D2590" s="8">
        <v>45388</v>
      </c>
      <c r="E2590" s="9" t="str">
        <f>+HYPERLINK("http://trademark.i-assist.jp/data/china/image_1882th/76368750.pdf","76368750")</f>
        <v>76368750</v>
      </c>
      <c r="F2590" s="6" t="s">
        <v>7078</v>
      </c>
      <c r="G2590" s="6" t="s">
        <v>7079</v>
      </c>
      <c r="H2590" s="8" t="s">
        <v>7080</v>
      </c>
      <c r="I2590" s="14">
        <v>45303</v>
      </c>
    </row>
    <row r="2591" spans="1:9" x14ac:dyDescent="0.15">
      <c r="A2591" s="5">
        <v>2590</v>
      </c>
      <c r="B2591" s="6" t="s">
        <v>9</v>
      </c>
      <c r="C2591" s="7">
        <v>1882</v>
      </c>
      <c r="D2591" s="8">
        <v>45388</v>
      </c>
      <c r="E2591" s="9" t="str">
        <f>+HYPERLINK("http://trademark.i-assist.jp/data/china/image_1882th/76368806.pdf","76368806")</f>
        <v>76368806</v>
      </c>
      <c r="F2591" s="6" t="s">
        <v>7081</v>
      </c>
      <c r="G2591" s="6" t="s">
        <v>6883</v>
      </c>
      <c r="H2591" s="8" t="s">
        <v>7082</v>
      </c>
      <c r="I2591" s="14">
        <v>45303</v>
      </c>
    </row>
    <row r="2592" spans="1:9" x14ac:dyDescent="0.15">
      <c r="A2592" s="5">
        <v>2591</v>
      </c>
      <c r="B2592" s="6" t="s">
        <v>9</v>
      </c>
      <c r="C2592" s="7">
        <v>1882</v>
      </c>
      <c r="D2592" s="8">
        <v>45388</v>
      </c>
      <c r="E2592" s="9" t="str">
        <f>+HYPERLINK("http://trademark.i-assist.jp/data/china/image_1882th/76368821.pdf","76368821")</f>
        <v>76368821</v>
      </c>
      <c r="F2592" s="6" t="s">
        <v>7083</v>
      </c>
      <c r="G2592" s="6" t="s">
        <v>5504</v>
      </c>
      <c r="H2592" s="8" t="s">
        <v>7084</v>
      </c>
      <c r="I2592" s="14">
        <v>45303</v>
      </c>
    </row>
    <row r="2593" spans="1:9" x14ac:dyDescent="0.15">
      <c r="A2593" s="5">
        <v>2592</v>
      </c>
      <c r="B2593" s="6" t="s">
        <v>9</v>
      </c>
      <c r="C2593" s="7">
        <v>1882</v>
      </c>
      <c r="D2593" s="8">
        <v>45388</v>
      </c>
      <c r="E2593" s="9" t="str">
        <f>+HYPERLINK("http://trademark.i-assist.jp/data/china/image_1882th/76368889.pdf","76368889")</f>
        <v>76368889</v>
      </c>
      <c r="F2593" s="6" t="s">
        <v>7085</v>
      </c>
      <c r="G2593" s="6" t="s">
        <v>6835</v>
      </c>
      <c r="H2593" s="8" t="s">
        <v>7086</v>
      </c>
      <c r="I2593" s="14">
        <v>45303</v>
      </c>
    </row>
    <row r="2594" spans="1:9" x14ac:dyDescent="0.15">
      <c r="A2594" s="5">
        <v>2593</v>
      </c>
      <c r="B2594" s="6" t="s">
        <v>9</v>
      </c>
      <c r="C2594" s="7">
        <v>1882</v>
      </c>
      <c r="D2594" s="8">
        <v>45388</v>
      </c>
      <c r="E2594" s="9" t="str">
        <f>+HYPERLINK("http://trademark.i-assist.jp/data/china/image_1882th/76369059.pdf","76369059")</f>
        <v>76369059</v>
      </c>
      <c r="F2594" s="6" t="s">
        <v>7087</v>
      </c>
      <c r="G2594" s="6" t="s">
        <v>7088</v>
      </c>
      <c r="H2594" s="8" t="s">
        <v>7089</v>
      </c>
      <c r="I2594" s="14">
        <v>45303</v>
      </c>
    </row>
    <row r="2595" spans="1:9" x14ac:dyDescent="0.15">
      <c r="A2595" s="5">
        <v>2594</v>
      </c>
      <c r="B2595" s="6" t="s">
        <v>9</v>
      </c>
      <c r="C2595" s="7">
        <v>1882</v>
      </c>
      <c r="D2595" s="8">
        <v>45388</v>
      </c>
      <c r="E2595" s="9" t="str">
        <f>+HYPERLINK("http://trademark.i-assist.jp/data/china/image_1882th/76369144.pdf","76369144")</f>
        <v>76369144</v>
      </c>
      <c r="F2595" s="6" t="s">
        <v>7090</v>
      </c>
      <c r="G2595" s="6" t="s">
        <v>6643</v>
      </c>
      <c r="H2595" s="8" t="s">
        <v>7091</v>
      </c>
      <c r="I2595" s="14">
        <v>45303</v>
      </c>
    </row>
    <row r="2596" spans="1:9" x14ac:dyDescent="0.15">
      <c r="A2596" s="5">
        <v>2595</v>
      </c>
      <c r="B2596" s="6" t="s">
        <v>9</v>
      </c>
      <c r="C2596" s="7">
        <v>1882</v>
      </c>
      <c r="D2596" s="8">
        <v>45388</v>
      </c>
      <c r="E2596" s="9" t="str">
        <f>+HYPERLINK("http://trademark.i-assist.jp/data/china/image_1882th/76369348.pdf","76369348")</f>
        <v>76369348</v>
      </c>
      <c r="F2596" s="6" t="s">
        <v>7092</v>
      </c>
      <c r="G2596" s="6" t="s">
        <v>7093</v>
      </c>
      <c r="H2596" s="8" t="s">
        <v>7094</v>
      </c>
      <c r="I2596" s="14">
        <v>45304</v>
      </c>
    </row>
    <row r="2597" spans="1:9" x14ac:dyDescent="0.15">
      <c r="A2597" s="5">
        <v>2596</v>
      </c>
      <c r="B2597" s="6" t="s">
        <v>9</v>
      </c>
      <c r="C2597" s="7">
        <v>1882</v>
      </c>
      <c r="D2597" s="8">
        <v>45388</v>
      </c>
      <c r="E2597" s="9" t="str">
        <f>+HYPERLINK("http://trademark.i-assist.jp/data/china/image_1882th/76369407.pdf","76369407")</f>
        <v>76369407</v>
      </c>
      <c r="F2597" s="6" t="s">
        <v>7095</v>
      </c>
      <c r="G2597" s="6" t="s">
        <v>7071</v>
      </c>
      <c r="H2597" s="8" t="s">
        <v>7096</v>
      </c>
      <c r="I2597" s="14">
        <v>45304</v>
      </c>
    </row>
    <row r="2598" spans="1:9" x14ac:dyDescent="0.15">
      <c r="A2598" s="5">
        <v>2597</v>
      </c>
      <c r="B2598" s="6" t="s">
        <v>9</v>
      </c>
      <c r="C2598" s="7">
        <v>1882</v>
      </c>
      <c r="D2598" s="8">
        <v>45388</v>
      </c>
      <c r="E2598" s="9" t="str">
        <f>+HYPERLINK("http://trademark.i-assist.jp/data/china/image_1882th/76369742.pdf","76369742")</f>
        <v>76369742</v>
      </c>
      <c r="F2598" s="6" t="s">
        <v>7097</v>
      </c>
      <c r="G2598" s="6" t="s">
        <v>7098</v>
      </c>
      <c r="H2598" s="8" t="s">
        <v>7099</v>
      </c>
      <c r="I2598" s="14">
        <v>45304</v>
      </c>
    </row>
    <row r="2599" spans="1:9" x14ac:dyDescent="0.15">
      <c r="A2599" s="5">
        <v>2598</v>
      </c>
      <c r="B2599" s="6" t="s">
        <v>9</v>
      </c>
      <c r="C2599" s="7">
        <v>1882</v>
      </c>
      <c r="D2599" s="8">
        <v>45388</v>
      </c>
      <c r="E2599" s="9" t="str">
        <f>+HYPERLINK("http://trademark.i-assist.jp/data/china/image_1882th/76369757.pdf","76369757")</f>
        <v>76369757</v>
      </c>
      <c r="F2599" s="6" t="s">
        <v>7100</v>
      </c>
      <c r="G2599" s="6" t="s">
        <v>7101</v>
      </c>
      <c r="H2599" s="8" t="s">
        <v>7102</v>
      </c>
      <c r="I2599" s="14">
        <v>45304</v>
      </c>
    </row>
    <row r="2600" spans="1:9" x14ac:dyDescent="0.15">
      <c r="A2600" s="5">
        <v>2599</v>
      </c>
      <c r="B2600" s="6" t="s">
        <v>9</v>
      </c>
      <c r="C2600" s="7">
        <v>1882</v>
      </c>
      <c r="D2600" s="8">
        <v>45388</v>
      </c>
      <c r="E2600" s="9" t="str">
        <f>+HYPERLINK("http://trademark.i-assist.jp/data/china/image_1882th/76370098.pdf","76370098")</f>
        <v>76370098</v>
      </c>
      <c r="F2600" s="6" t="s">
        <v>7103</v>
      </c>
      <c r="G2600" s="6" t="s">
        <v>7104</v>
      </c>
      <c r="H2600" s="8" t="s">
        <v>7105</v>
      </c>
      <c r="I2600" s="14">
        <v>45304</v>
      </c>
    </row>
    <row r="2601" spans="1:9" x14ac:dyDescent="0.15">
      <c r="A2601" s="5">
        <v>2600</v>
      </c>
      <c r="B2601" s="6" t="s">
        <v>9</v>
      </c>
      <c r="C2601" s="7">
        <v>1882</v>
      </c>
      <c r="D2601" s="8">
        <v>45388</v>
      </c>
      <c r="E2601" s="9" t="str">
        <f>+HYPERLINK("http://trademark.i-assist.jp/data/china/image_1882th/76370100.pdf","76370100")</f>
        <v>76370100</v>
      </c>
      <c r="F2601" s="6" t="s">
        <v>7106</v>
      </c>
      <c r="G2601" s="6" t="s">
        <v>7107</v>
      </c>
      <c r="H2601" s="8" t="s">
        <v>7108</v>
      </c>
      <c r="I2601" s="14">
        <v>45304</v>
      </c>
    </row>
    <row r="2602" spans="1:9" x14ac:dyDescent="0.15">
      <c r="A2602" s="5">
        <v>2601</v>
      </c>
      <c r="B2602" s="6" t="s">
        <v>9</v>
      </c>
      <c r="C2602" s="7">
        <v>1882</v>
      </c>
      <c r="D2602" s="8">
        <v>45388</v>
      </c>
      <c r="E2602" s="9" t="str">
        <f>+HYPERLINK("http://trademark.i-assist.jp/data/china/image_1882th/76370132.pdf","76370132")</f>
        <v>76370132</v>
      </c>
      <c r="F2602" s="6" t="s">
        <v>7109</v>
      </c>
      <c r="G2602" s="6" t="s">
        <v>7110</v>
      </c>
      <c r="H2602" s="8" t="s">
        <v>7111</v>
      </c>
      <c r="I2602" s="14">
        <v>45304</v>
      </c>
    </row>
    <row r="2603" spans="1:9" x14ac:dyDescent="0.15">
      <c r="A2603" s="5">
        <v>2602</v>
      </c>
      <c r="B2603" s="6" t="s">
        <v>9</v>
      </c>
      <c r="C2603" s="7">
        <v>1882</v>
      </c>
      <c r="D2603" s="8">
        <v>45388</v>
      </c>
      <c r="E2603" s="9" t="str">
        <f>+HYPERLINK("http://trademark.i-assist.jp/data/china/image_1882th/76370272.pdf","76370272")</f>
        <v>76370272</v>
      </c>
      <c r="F2603" s="6" t="s">
        <v>7112</v>
      </c>
      <c r="G2603" s="6" t="s">
        <v>7113</v>
      </c>
      <c r="H2603" s="8" t="s">
        <v>7114</v>
      </c>
      <c r="I2603" s="14">
        <v>45304</v>
      </c>
    </row>
    <row r="2604" spans="1:9" x14ac:dyDescent="0.15">
      <c r="A2604" s="5">
        <v>2603</v>
      </c>
      <c r="B2604" s="6" t="s">
        <v>9</v>
      </c>
      <c r="C2604" s="7">
        <v>1882</v>
      </c>
      <c r="D2604" s="8">
        <v>45388</v>
      </c>
      <c r="E2604" s="9" t="str">
        <f>+HYPERLINK("http://trademark.i-assist.jp/data/china/image_1882th/76370357.pdf","76370357")</f>
        <v>76370357</v>
      </c>
      <c r="F2604" s="6" t="s">
        <v>7115</v>
      </c>
      <c r="G2604" s="6" t="s">
        <v>7071</v>
      </c>
      <c r="H2604" s="8" t="s">
        <v>7116</v>
      </c>
      <c r="I2604" s="14">
        <v>45304</v>
      </c>
    </row>
    <row r="2605" spans="1:9" x14ac:dyDescent="0.15">
      <c r="A2605" s="5">
        <v>2604</v>
      </c>
      <c r="B2605" s="6" t="s">
        <v>9</v>
      </c>
      <c r="C2605" s="7">
        <v>1882</v>
      </c>
      <c r="D2605" s="8">
        <v>45388</v>
      </c>
      <c r="E2605" s="9" t="str">
        <f>+HYPERLINK("http://trademark.i-assist.jp/data/china/image_1882th/76370477.pdf","76370477")</f>
        <v>76370477</v>
      </c>
      <c r="F2605" s="6" t="s">
        <v>7117</v>
      </c>
      <c r="G2605" s="6" t="s">
        <v>7118</v>
      </c>
      <c r="H2605" s="8" t="s">
        <v>7119</v>
      </c>
      <c r="I2605" s="14">
        <v>45304</v>
      </c>
    </row>
    <row r="2606" spans="1:9" x14ac:dyDescent="0.15">
      <c r="A2606" s="5">
        <v>2605</v>
      </c>
      <c r="B2606" s="6" t="s">
        <v>9</v>
      </c>
      <c r="C2606" s="7">
        <v>1882</v>
      </c>
      <c r="D2606" s="8">
        <v>45388</v>
      </c>
      <c r="E2606" s="9" t="str">
        <f>+HYPERLINK("http://trademark.i-assist.jp/data/china/image_1882th/76371287.pdf","76371287")</f>
        <v>76371287</v>
      </c>
      <c r="F2606" s="6" t="s">
        <v>7120</v>
      </c>
      <c r="G2606" s="6" t="s">
        <v>7121</v>
      </c>
      <c r="H2606" s="8" t="s">
        <v>7122</v>
      </c>
      <c r="I2606" s="14">
        <v>45304</v>
      </c>
    </row>
    <row r="2607" spans="1:9" x14ac:dyDescent="0.15">
      <c r="A2607" s="5">
        <v>2606</v>
      </c>
      <c r="B2607" s="6" t="s">
        <v>9</v>
      </c>
      <c r="C2607" s="7">
        <v>1882</v>
      </c>
      <c r="D2607" s="8">
        <v>45388</v>
      </c>
      <c r="E2607" s="9" t="str">
        <f>+HYPERLINK("http://trademark.i-assist.jp/data/china/image_1882th/76371395.pdf","76371395")</f>
        <v>76371395</v>
      </c>
      <c r="F2607" s="6" t="s">
        <v>7123</v>
      </c>
      <c r="G2607" s="6" t="s">
        <v>7124</v>
      </c>
      <c r="H2607" s="8" t="s">
        <v>7125</v>
      </c>
      <c r="I2607" s="14">
        <v>45304</v>
      </c>
    </row>
    <row r="2608" spans="1:9" x14ac:dyDescent="0.15">
      <c r="A2608" s="5">
        <v>2607</v>
      </c>
      <c r="B2608" s="6" t="s">
        <v>9</v>
      </c>
      <c r="C2608" s="7">
        <v>1882</v>
      </c>
      <c r="D2608" s="8">
        <v>45388</v>
      </c>
      <c r="E2608" s="9" t="str">
        <f>+HYPERLINK("http://trademark.i-assist.jp/data/china/image_1882th/76371396.pdf","76371396")</f>
        <v>76371396</v>
      </c>
      <c r="F2608" s="6" t="s">
        <v>7126</v>
      </c>
      <c r="G2608" s="6" t="s">
        <v>7127</v>
      </c>
      <c r="H2608" s="8" t="s">
        <v>7128</v>
      </c>
      <c r="I2608" s="14">
        <v>45304</v>
      </c>
    </row>
    <row r="2609" spans="1:9" x14ac:dyDescent="0.15">
      <c r="A2609" s="5">
        <v>2608</v>
      </c>
      <c r="B2609" s="6" t="s">
        <v>9</v>
      </c>
      <c r="C2609" s="7">
        <v>1882</v>
      </c>
      <c r="D2609" s="8">
        <v>45388</v>
      </c>
      <c r="E2609" s="9" t="str">
        <f>+HYPERLINK("http://trademark.i-assist.jp/data/china/image_1882th/76371580.pdf","76371580")</f>
        <v>76371580</v>
      </c>
      <c r="F2609" s="6" t="s">
        <v>7129</v>
      </c>
      <c r="G2609" s="6" t="s">
        <v>5983</v>
      </c>
      <c r="H2609" s="8" t="s">
        <v>7130</v>
      </c>
      <c r="I2609" s="14">
        <v>45304</v>
      </c>
    </row>
    <row r="2610" spans="1:9" x14ac:dyDescent="0.15">
      <c r="A2610" s="5">
        <v>2609</v>
      </c>
      <c r="B2610" s="6" t="s">
        <v>9</v>
      </c>
      <c r="C2610" s="7">
        <v>1882</v>
      </c>
      <c r="D2610" s="8">
        <v>45388</v>
      </c>
      <c r="E2610" s="9" t="str">
        <f>+HYPERLINK("http://trademark.i-assist.jp/data/china/image_1882th/76371632.pdf","76371632")</f>
        <v>76371632</v>
      </c>
      <c r="F2610" s="6" t="s">
        <v>7131</v>
      </c>
      <c r="G2610" s="6" t="s">
        <v>7132</v>
      </c>
      <c r="H2610" s="8" t="s">
        <v>7133</v>
      </c>
      <c r="I2610" s="14">
        <v>45304</v>
      </c>
    </row>
    <row r="2611" spans="1:9" x14ac:dyDescent="0.15">
      <c r="A2611" s="5">
        <v>2610</v>
      </c>
      <c r="B2611" s="6" t="s">
        <v>9</v>
      </c>
      <c r="C2611" s="7">
        <v>1882</v>
      </c>
      <c r="D2611" s="8">
        <v>45388</v>
      </c>
      <c r="E2611" s="9" t="str">
        <f>+HYPERLINK("http://trademark.i-assist.jp/data/china/image_1882th/76371805.pdf","76371805")</f>
        <v>76371805</v>
      </c>
      <c r="F2611" s="6" t="s">
        <v>7134</v>
      </c>
      <c r="G2611" s="6" t="s">
        <v>7135</v>
      </c>
      <c r="H2611" s="8" t="s">
        <v>7136</v>
      </c>
      <c r="I2611" s="14">
        <v>45304</v>
      </c>
    </row>
    <row r="2612" spans="1:9" x14ac:dyDescent="0.15">
      <c r="A2612" s="5">
        <v>2611</v>
      </c>
      <c r="B2612" s="6" t="s">
        <v>9</v>
      </c>
      <c r="C2612" s="7">
        <v>1882</v>
      </c>
      <c r="D2612" s="8">
        <v>45388</v>
      </c>
      <c r="E2612" s="9" t="str">
        <f>+HYPERLINK("http://trademark.i-assist.jp/data/china/image_1882th/76372110.pdf","76372110")</f>
        <v>76372110</v>
      </c>
      <c r="F2612" s="6" t="s">
        <v>7137</v>
      </c>
      <c r="G2612" s="6" t="s">
        <v>7138</v>
      </c>
      <c r="H2612" s="8" t="s">
        <v>7139</v>
      </c>
      <c r="I2612" s="14">
        <v>45304</v>
      </c>
    </row>
    <row r="2613" spans="1:9" x14ac:dyDescent="0.15">
      <c r="A2613" s="5">
        <v>2612</v>
      </c>
      <c r="B2613" s="6" t="s">
        <v>9</v>
      </c>
      <c r="C2613" s="7">
        <v>1882</v>
      </c>
      <c r="D2613" s="8">
        <v>45388</v>
      </c>
      <c r="E2613" s="9" t="str">
        <f>+HYPERLINK("http://trademark.i-assist.jp/data/china/image_1882th/76372200.pdf","76372200")</f>
        <v>76372200</v>
      </c>
      <c r="F2613" s="6" t="s">
        <v>7140</v>
      </c>
      <c r="G2613" s="6" t="s">
        <v>7141</v>
      </c>
      <c r="H2613" s="8" t="s">
        <v>7142</v>
      </c>
      <c r="I2613" s="14">
        <v>45304</v>
      </c>
    </row>
    <row r="2614" spans="1:9" x14ac:dyDescent="0.15">
      <c r="A2614" s="5">
        <v>2613</v>
      </c>
      <c r="B2614" s="6" t="s">
        <v>9</v>
      </c>
      <c r="C2614" s="7">
        <v>1882</v>
      </c>
      <c r="D2614" s="8">
        <v>45388</v>
      </c>
      <c r="E2614" s="9" t="str">
        <f>+HYPERLINK("http://trademark.i-assist.jp/data/china/image_1882th/76372870.pdf","76372870")</f>
        <v>76372870</v>
      </c>
      <c r="F2614" s="6" t="s">
        <v>7143</v>
      </c>
      <c r="G2614" s="6" t="s">
        <v>7144</v>
      </c>
      <c r="H2614" s="8" t="s">
        <v>7145</v>
      </c>
      <c r="I2614" s="14">
        <v>45304</v>
      </c>
    </row>
    <row r="2615" spans="1:9" x14ac:dyDescent="0.15">
      <c r="A2615" s="5">
        <v>2614</v>
      </c>
      <c r="B2615" s="6" t="s">
        <v>9</v>
      </c>
      <c r="C2615" s="7">
        <v>1882</v>
      </c>
      <c r="D2615" s="8">
        <v>45388</v>
      </c>
      <c r="E2615" s="9" t="str">
        <f>+HYPERLINK("http://trademark.i-assist.jp/data/china/image_1882th/76373107.pdf","76373107")</f>
        <v>76373107</v>
      </c>
      <c r="F2615" s="6" t="s">
        <v>7146</v>
      </c>
      <c r="G2615" s="6" t="s">
        <v>7147</v>
      </c>
      <c r="H2615" s="8" t="s">
        <v>7148</v>
      </c>
      <c r="I2615" s="14">
        <v>45304</v>
      </c>
    </row>
    <row r="2616" spans="1:9" x14ac:dyDescent="0.15">
      <c r="A2616" s="5">
        <v>2615</v>
      </c>
      <c r="B2616" s="6" t="s">
        <v>9</v>
      </c>
      <c r="C2616" s="7">
        <v>1882</v>
      </c>
      <c r="D2616" s="8">
        <v>45388</v>
      </c>
      <c r="E2616" s="9" t="str">
        <f>+HYPERLINK("http://trademark.i-assist.jp/data/china/image_1882th/76373196.pdf","76373196")</f>
        <v>76373196</v>
      </c>
      <c r="F2616" s="6" t="s">
        <v>7149</v>
      </c>
      <c r="G2616" s="6" t="s">
        <v>7150</v>
      </c>
      <c r="H2616" s="8" t="s">
        <v>7151</v>
      </c>
      <c r="I2616" s="14">
        <v>45304</v>
      </c>
    </row>
    <row r="2617" spans="1:9" x14ac:dyDescent="0.15">
      <c r="A2617" s="5">
        <v>2616</v>
      </c>
      <c r="B2617" s="6" t="s">
        <v>9</v>
      </c>
      <c r="C2617" s="7">
        <v>1882</v>
      </c>
      <c r="D2617" s="8">
        <v>45388</v>
      </c>
      <c r="E2617" s="9" t="str">
        <f>+HYPERLINK("http://trademark.i-assist.jp/data/china/image_1882th/76373288.pdf","76373288")</f>
        <v>76373288</v>
      </c>
      <c r="F2617" s="6" t="s">
        <v>7152</v>
      </c>
      <c r="G2617" s="6" t="s">
        <v>7153</v>
      </c>
      <c r="H2617" s="8" t="s">
        <v>7154</v>
      </c>
      <c r="I2617" s="14">
        <v>45304</v>
      </c>
    </row>
    <row r="2618" spans="1:9" x14ac:dyDescent="0.15">
      <c r="A2618" s="5">
        <v>2617</v>
      </c>
      <c r="B2618" s="6" t="s">
        <v>9</v>
      </c>
      <c r="C2618" s="7">
        <v>1882</v>
      </c>
      <c r="D2618" s="8">
        <v>45388</v>
      </c>
      <c r="E2618" s="9" t="str">
        <f>+HYPERLINK("http://trademark.i-assist.jp/data/china/image_1882th/76373336.pdf","76373336")</f>
        <v>76373336</v>
      </c>
      <c r="F2618" s="6" t="s">
        <v>7155</v>
      </c>
      <c r="G2618" s="6" t="s">
        <v>7156</v>
      </c>
      <c r="H2618" s="8" t="s">
        <v>7157</v>
      </c>
      <c r="I2618" s="14">
        <v>45304</v>
      </c>
    </row>
    <row r="2619" spans="1:9" x14ac:dyDescent="0.15">
      <c r="A2619" s="5">
        <v>2618</v>
      </c>
      <c r="B2619" s="6" t="s">
        <v>9</v>
      </c>
      <c r="C2619" s="7">
        <v>1882</v>
      </c>
      <c r="D2619" s="8">
        <v>45388</v>
      </c>
      <c r="E2619" s="9" t="str">
        <f>+HYPERLINK("http://trademark.i-assist.jp/data/china/image_1882th/76373488.pdf","76373488")</f>
        <v>76373488</v>
      </c>
      <c r="F2619" s="6" t="s">
        <v>7158</v>
      </c>
      <c r="G2619" s="6" t="s">
        <v>7159</v>
      </c>
      <c r="H2619" s="8" t="s">
        <v>7160</v>
      </c>
      <c r="I2619" s="14">
        <v>45304</v>
      </c>
    </row>
    <row r="2620" spans="1:9" x14ac:dyDescent="0.15">
      <c r="A2620" s="5">
        <v>2619</v>
      </c>
      <c r="B2620" s="6" t="s">
        <v>9</v>
      </c>
      <c r="C2620" s="7">
        <v>1882</v>
      </c>
      <c r="D2620" s="8">
        <v>45388</v>
      </c>
      <c r="E2620" s="9" t="str">
        <f>+HYPERLINK("http://trademark.i-assist.jp/data/china/image_1882th/76373593.pdf","76373593")</f>
        <v>76373593</v>
      </c>
      <c r="F2620" s="6" t="s">
        <v>7161</v>
      </c>
      <c r="G2620" s="6" t="s">
        <v>6957</v>
      </c>
      <c r="H2620" s="8" t="s">
        <v>7162</v>
      </c>
      <c r="I2620" s="14">
        <v>45304</v>
      </c>
    </row>
    <row r="2621" spans="1:9" x14ac:dyDescent="0.15">
      <c r="A2621" s="5">
        <v>2620</v>
      </c>
      <c r="B2621" s="6" t="s">
        <v>9</v>
      </c>
      <c r="C2621" s="7">
        <v>1882</v>
      </c>
      <c r="D2621" s="8">
        <v>45388</v>
      </c>
      <c r="E2621" s="9" t="str">
        <f>+HYPERLINK("http://trademark.i-assist.jp/data/china/image_1882th/76373628.pdf","76373628")</f>
        <v>76373628</v>
      </c>
      <c r="F2621" s="6" t="s">
        <v>7163</v>
      </c>
      <c r="G2621" s="6" t="s">
        <v>7164</v>
      </c>
      <c r="H2621" s="8" t="s">
        <v>7165</v>
      </c>
      <c r="I2621" s="14">
        <v>45304</v>
      </c>
    </row>
    <row r="2622" spans="1:9" x14ac:dyDescent="0.15">
      <c r="A2622" s="5">
        <v>2621</v>
      </c>
      <c r="B2622" s="6" t="s">
        <v>9</v>
      </c>
      <c r="C2622" s="7">
        <v>1882</v>
      </c>
      <c r="D2622" s="8">
        <v>45388</v>
      </c>
      <c r="E2622" s="9" t="str">
        <f>+HYPERLINK("http://trademark.i-assist.jp/data/china/image_1882th/76373680.pdf","76373680")</f>
        <v>76373680</v>
      </c>
      <c r="F2622" s="6" t="s">
        <v>7166</v>
      </c>
      <c r="G2622" s="6" t="s">
        <v>7167</v>
      </c>
      <c r="H2622" s="8" t="s">
        <v>7168</v>
      </c>
      <c r="I2622" s="14">
        <v>45304</v>
      </c>
    </row>
    <row r="2623" spans="1:9" x14ac:dyDescent="0.15">
      <c r="A2623" s="5">
        <v>2622</v>
      </c>
      <c r="B2623" s="6" t="s">
        <v>9</v>
      </c>
      <c r="C2623" s="7">
        <v>1882</v>
      </c>
      <c r="D2623" s="8">
        <v>45388</v>
      </c>
      <c r="E2623" s="9" t="str">
        <f>+HYPERLINK("http://trademark.i-assist.jp/data/china/image_1882th/76373775.pdf","76373775")</f>
        <v>76373775</v>
      </c>
      <c r="F2623" s="6" t="s">
        <v>7169</v>
      </c>
      <c r="G2623" s="6" t="s">
        <v>7170</v>
      </c>
      <c r="H2623" s="8" t="s">
        <v>7171</v>
      </c>
      <c r="I2623" s="14">
        <v>45304</v>
      </c>
    </row>
    <row r="2624" spans="1:9" x14ac:dyDescent="0.15">
      <c r="A2624" s="5">
        <v>2623</v>
      </c>
      <c r="B2624" s="6" t="s">
        <v>9</v>
      </c>
      <c r="C2624" s="7">
        <v>1882</v>
      </c>
      <c r="D2624" s="8">
        <v>45388</v>
      </c>
      <c r="E2624" s="9" t="str">
        <f>+HYPERLINK("http://trademark.i-assist.jp/data/china/image_1882th/76374134.pdf","76374134")</f>
        <v>76374134</v>
      </c>
      <c r="F2624" s="6" t="s">
        <v>7092</v>
      </c>
      <c r="G2624" s="6" t="s">
        <v>7093</v>
      </c>
      <c r="H2624" s="8" t="s">
        <v>7172</v>
      </c>
      <c r="I2624" s="14">
        <v>45304</v>
      </c>
    </row>
    <row r="2625" spans="1:9" x14ac:dyDescent="0.15">
      <c r="A2625" s="5">
        <v>2624</v>
      </c>
      <c r="B2625" s="6" t="s">
        <v>9</v>
      </c>
      <c r="C2625" s="7">
        <v>1882</v>
      </c>
      <c r="D2625" s="8">
        <v>45388</v>
      </c>
      <c r="E2625" s="9" t="str">
        <f>+HYPERLINK("http://trademark.i-assist.jp/data/china/image_1882th/76374369.pdf","76374369")</f>
        <v>76374369</v>
      </c>
      <c r="F2625" s="6" t="s">
        <v>7173</v>
      </c>
      <c r="G2625" s="6" t="s">
        <v>7174</v>
      </c>
      <c r="H2625" s="8" t="s">
        <v>7175</v>
      </c>
      <c r="I2625" s="14">
        <v>45304</v>
      </c>
    </row>
    <row r="2626" spans="1:9" x14ac:dyDescent="0.15">
      <c r="A2626" s="5">
        <v>2625</v>
      </c>
      <c r="B2626" s="6" t="s">
        <v>9</v>
      </c>
      <c r="C2626" s="7">
        <v>1882</v>
      </c>
      <c r="D2626" s="8">
        <v>45388</v>
      </c>
      <c r="E2626" s="9" t="str">
        <f>+HYPERLINK("http://trademark.i-assist.jp/data/china/image_1882th/76374458.pdf","76374458")</f>
        <v>76374458</v>
      </c>
      <c r="F2626" s="6" t="s">
        <v>7176</v>
      </c>
      <c r="G2626" s="6" t="s">
        <v>6785</v>
      </c>
      <c r="H2626" s="8" t="s">
        <v>7177</v>
      </c>
      <c r="I2626" s="14">
        <v>45303</v>
      </c>
    </row>
    <row r="2627" spans="1:9" x14ac:dyDescent="0.15">
      <c r="A2627" s="5">
        <v>2626</v>
      </c>
      <c r="B2627" s="6" t="s">
        <v>9</v>
      </c>
      <c r="C2627" s="7">
        <v>1882</v>
      </c>
      <c r="D2627" s="8">
        <v>45388</v>
      </c>
      <c r="E2627" s="9" t="str">
        <f>+HYPERLINK("http://trademark.i-assist.jp/data/china/image_1882th/76374528.pdf","76374528")</f>
        <v>76374528</v>
      </c>
      <c r="F2627" s="6" t="s">
        <v>7178</v>
      </c>
      <c r="G2627" s="6" t="s">
        <v>6724</v>
      </c>
      <c r="H2627" s="8" t="s">
        <v>7179</v>
      </c>
      <c r="I2627" s="14">
        <v>45303</v>
      </c>
    </row>
    <row r="2628" spans="1:9" x14ac:dyDescent="0.15">
      <c r="A2628" s="5">
        <v>2627</v>
      </c>
      <c r="B2628" s="6" t="s">
        <v>9</v>
      </c>
      <c r="C2628" s="7">
        <v>1882</v>
      </c>
      <c r="D2628" s="8">
        <v>45388</v>
      </c>
      <c r="E2628" s="9" t="str">
        <f>+HYPERLINK("http://trademark.i-assist.jp/data/china/image_1882th/76374825.pdf","76374825")</f>
        <v>76374825</v>
      </c>
      <c r="F2628" s="6" t="s">
        <v>7180</v>
      </c>
      <c r="G2628" s="6" t="s">
        <v>7181</v>
      </c>
      <c r="H2628" s="8" t="s">
        <v>7182</v>
      </c>
      <c r="I2628" s="14">
        <v>45303</v>
      </c>
    </row>
    <row r="2629" spans="1:9" x14ac:dyDescent="0.15">
      <c r="A2629" s="5">
        <v>2628</v>
      </c>
      <c r="B2629" s="6" t="s">
        <v>9</v>
      </c>
      <c r="C2629" s="7">
        <v>1882</v>
      </c>
      <c r="D2629" s="8">
        <v>45388</v>
      </c>
      <c r="E2629" s="9" t="str">
        <f>+HYPERLINK("http://trademark.i-assist.jp/data/china/image_1882th/76374929.pdf","76374929")</f>
        <v>76374929</v>
      </c>
      <c r="F2629" s="6" t="s">
        <v>7183</v>
      </c>
      <c r="G2629" s="6" t="s">
        <v>7184</v>
      </c>
      <c r="H2629" s="8" t="s">
        <v>7185</v>
      </c>
      <c r="I2629" s="14">
        <v>45303</v>
      </c>
    </row>
    <row r="2630" spans="1:9" x14ac:dyDescent="0.15">
      <c r="A2630" s="5">
        <v>2629</v>
      </c>
      <c r="B2630" s="6" t="s">
        <v>9</v>
      </c>
      <c r="C2630" s="7">
        <v>1882</v>
      </c>
      <c r="D2630" s="8">
        <v>45388</v>
      </c>
      <c r="E2630" s="9" t="str">
        <f>+HYPERLINK("http://trademark.i-assist.jp/data/china/image_1882th/76374951.pdf","76374951")</f>
        <v>76374951</v>
      </c>
      <c r="F2630" s="6" t="s">
        <v>7186</v>
      </c>
      <c r="G2630" s="6" t="s">
        <v>7184</v>
      </c>
      <c r="H2630" s="8" t="s">
        <v>7187</v>
      </c>
      <c r="I2630" s="14">
        <v>45303</v>
      </c>
    </row>
    <row r="2631" spans="1:9" x14ac:dyDescent="0.15">
      <c r="A2631" s="5">
        <v>2630</v>
      </c>
      <c r="B2631" s="6" t="s">
        <v>9</v>
      </c>
      <c r="C2631" s="7">
        <v>1882</v>
      </c>
      <c r="D2631" s="8">
        <v>45388</v>
      </c>
      <c r="E2631" s="9" t="str">
        <f>+HYPERLINK("http://trademark.i-assist.jp/data/china/image_1882th/76374998.pdf","76374998")</f>
        <v>76374998</v>
      </c>
      <c r="F2631" s="6" t="s">
        <v>7188</v>
      </c>
      <c r="G2631" s="6" t="s">
        <v>7002</v>
      </c>
      <c r="H2631" s="8" t="s">
        <v>7189</v>
      </c>
      <c r="I2631" s="14">
        <v>45303</v>
      </c>
    </row>
    <row r="2632" spans="1:9" x14ac:dyDescent="0.15">
      <c r="A2632" s="5">
        <v>2631</v>
      </c>
      <c r="B2632" s="6" t="s">
        <v>9</v>
      </c>
      <c r="C2632" s="7">
        <v>1882</v>
      </c>
      <c r="D2632" s="8">
        <v>45388</v>
      </c>
      <c r="E2632" s="9" t="str">
        <f>+HYPERLINK("http://trademark.i-assist.jp/data/china/image_1882th/76375259.pdf","76375259")</f>
        <v>76375259</v>
      </c>
      <c r="F2632" s="6" t="s">
        <v>7190</v>
      </c>
      <c r="G2632" s="6" t="s">
        <v>7071</v>
      </c>
      <c r="H2632" s="8" t="s">
        <v>7191</v>
      </c>
      <c r="I2632" s="14">
        <v>45304</v>
      </c>
    </row>
    <row r="2633" spans="1:9" x14ac:dyDescent="0.15">
      <c r="A2633" s="5">
        <v>2632</v>
      </c>
      <c r="B2633" s="6" t="s">
        <v>9</v>
      </c>
      <c r="C2633" s="7">
        <v>1882</v>
      </c>
      <c r="D2633" s="8">
        <v>45388</v>
      </c>
      <c r="E2633" s="9" t="str">
        <f>+HYPERLINK("http://trademark.i-assist.jp/data/china/image_1882th/76375331.pdf","76375331")</f>
        <v>76375331</v>
      </c>
      <c r="F2633" s="6" t="s">
        <v>7192</v>
      </c>
      <c r="G2633" s="6" t="s">
        <v>7101</v>
      </c>
      <c r="H2633" s="8" t="s">
        <v>7193</v>
      </c>
      <c r="I2633" s="14">
        <v>45304</v>
      </c>
    </row>
    <row r="2634" spans="1:9" x14ac:dyDescent="0.15">
      <c r="A2634" s="5">
        <v>2633</v>
      </c>
      <c r="B2634" s="6" t="s">
        <v>9</v>
      </c>
      <c r="C2634" s="7">
        <v>1882</v>
      </c>
      <c r="D2634" s="8">
        <v>45388</v>
      </c>
      <c r="E2634" s="9" t="str">
        <f>+HYPERLINK("http://trademark.i-assist.jp/data/china/image_1882th/76375726.pdf","76375726")</f>
        <v>76375726</v>
      </c>
      <c r="F2634" s="6" t="s">
        <v>7194</v>
      </c>
      <c r="G2634" s="6" t="s">
        <v>7195</v>
      </c>
      <c r="H2634" s="8" t="s">
        <v>7196</v>
      </c>
      <c r="I2634" s="14">
        <v>45305</v>
      </c>
    </row>
    <row r="2635" spans="1:9" x14ac:dyDescent="0.15">
      <c r="A2635" s="5">
        <v>2634</v>
      </c>
      <c r="B2635" s="6" t="s">
        <v>9</v>
      </c>
      <c r="C2635" s="7">
        <v>1882</v>
      </c>
      <c r="D2635" s="8">
        <v>45388</v>
      </c>
      <c r="E2635" s="9" t="str">
        <f>+HYPERLINK("http://trademark.i-assist.jp/data/china/image_1882th/76375728.pdf","76375728")</f>
        <v>76375728</v>
      </c>
      <c r="F2635" s="6" t="s">
        <v>7197</v>
      </c>
      <c r="G2635" s="6" t="s">
        <v>7198</v>
      </c>
      <c r="H2635" s="8" t="s">
        <v>7199</v>
      </c>
      <c r="I2635" s="14">
        <v>45305</v>
      </c>
    </row>
    <row r="2636" spans="1:9" x14ac:dyDescent="0.15">
      <c r="A2636" s="5">
        <v>2635</v>
      </c>
      <c r="B2636" s="6" t="s">
        <v>9</v>
      </c>
      <c r="C2636" s="7">
        <v>1882</v>
      </c>
      <c r="D2636" s="8">
        <v>45388</v>
      </c>
      <c r="E2636" s="9" t="str">
        <f>+HYPERLINK("http://trademark.i-assist.jp/data/china/image_1882th/76375955.pdf","76375955")</f>
        <v>76375955</v>
      </c>
      <c r="F2636" s="6" t="s">
        <v>7200</v>
      </c>
      <c r="G2636" s="6" t="s">
        <v>7201</v>
      </c>
      <c r="H2636" s="8" t="s">
        <v>7202</v>
      </c>
      <c r="I2636" s="14">
        <v>45305</v>
      </c>
    </row>
    <row r="2637" spans="1:9" x14ac:dyDescent="0.15">
      <c r="A2637" s="5">
        <v>2636</v>
      </c>
      <c r="B2637" s="6" t="s">
        <v>9</v>
      </c>
      <c r="C2637" s="7">
        <v>1882</v>
      </c>
      <c r="D2637" s="8">
        <v>45388</v>
      </c>
      <c r="E2637" s="9" t="str">
        <f>+HYPERLINK("http://trademark.i-assist.jp/data/china/image_1882th/76376366.pdf","76376366")</f>
        <v>76376366</v>
      </c>
      <c r="F2637" s="6" t="s">
        <v>7203</v>
      </c>
      <c r="G2637" s="6" t="s">
        <v>7204</v>
      </c>
      <c r="H2637" s="8" t="s">
        <v>7205</v>
      </c>
      <c r="I2637" s="14">
        <v>45305</v>
      </c>
    </row>
    <row r="2638" spans="1:9" x14ac:dyDescent="0.15">
      <c r="A2638" s="5">
        <v>2637</v>
      </c>
      <c r="B2638" s="6" t="s">
        <v>9</v>
      </c>
      <c r="C2638" s="7">
        <v>1882</v>
      </c>
      <c r="D2638" s="8">
        <v>45388</v>
      </c>
      <c r="E2638" s="9" t="str">
        <f>+HYPERLINK("http://trademark.i-assist.jp/data/china/image_1882th/76376433.pdf","76376433")</f>
        <v>76376433</v>
      </c>
      <c r="F2638" s="6" t="s">
        <v>7206</v>
      </c>
      <c r="G2638" s="6" t="s">
        <v>7207</v>
      </c>
      <c r="H2638" s="8" t="s">
        <v>7208</v>
      </c>
      <c r="I2638" s="14">
        <v>45305</v>
      </c>
    </row>
    <row r="2639" spans="1:9" x14ac:dyDescent="0.15">
      <c r="A2639" s="5">
        <v>2638</v>
      </c>
      <c r="B2639" s="6" t="s">
        <v>9</v>
      </c>
      <c r="C2639" s="7">
        <v>1882</v>
      </c>
      <c r="D2639" s="8">
        <v>45388</v>
      </c>
      <c r="E2639" s="9" t="str">
        <f>+HYPERLINK("http://trademark.i-assist.jp/data/china/image_1882th/76376436.pdf","76376436")</f>
        <v>76376436</v>
      </c>
      <c r="F2639" s="6" t="s">
        <v>7209</v>
      </c>
      <c r="G2639" s="6" t="s">
        <v>7210</v>
      </c>
      <c r="H2639" s="8" t="s">
        <v>7211</v>
      </c>
      <c r="I2639" s="14">
        <v>45305</v>
      </c>
    </row>
    <row r="2640" spans="1:9" x14ac:dyDescent="0.15">
      <c r="A2640" s="5">
        <v>2639</v>
      </c>
      <c r="B2640" s="6" t="s">
        <v>9</v>
      </c>
      <c r="C2640" s="7">
        <v>1882</v>
      </c>
      <c r="D2640" s="8">
        <v>45388</v>
      </c>
      <c r="E2640" s="9" t="str">
        <f>+HYPERLINK("http://trademark.i-assist.jp/data/china/image_1882th/76376474.pdf","76376474")</f>
        <v>76376474</v>
      </c>
      <c r="F2640" s="6" t="s">
        <v>7212</v>
      </c>
      <c r="G2640" s="6" t="s">
        <v>7213</v>
      </c>
      <c r="H2640" s="8" t="s">
        <v>7214</v>
      </c>
      <c r="I2640" s="14">
        <v>45305</v>
      </c>
    </row>
    <row r="2641" spans="1:9" x14ac:dyDescent="0.15">
      <c r="A2641" s="5">
        <v>2640</v>
      </c>
      <c r="B2641" s="6" t="s">
        <v>9</v>
      </c>
      <c r="C2641" s="7">
        <v>1882</v>
      </c>
      <c r="D2641" s="8">
        <v>45388</v>
      </c>
      <c r="E2641" s="9" t="str">
        <f>+HYPERLINK("http://trademark.i-assist.jp/data/china/image_1882th/76376894.pdf","76376894")</f>
        <v>76376894</v>
      </c>
      <c r="F2641" s="6" t="s">
        <v>7215</v>
      </c>
      <c r="G2641" s="6" t="s">
        <v>7216</v>
      </c>
      <c r="H2641" s="8" t="s">
        <v>7217</v>
      </c>
      <c r="I2641" s="14">
        <v>45305</v>
      </c>
    </row>
    <row r="2642" spans="1:9" x14ac:dyDescent="0.15">
      <c r="A2642" s="5">
        <v>2641</v>
      </c>
      <c r="B2642" s="6" t="s">
        <v>9</v>
      </c>
      <c r="C2642" s="7">
        <v>1882</v>
      </c>
      <c r="D2642" s="8">
        <v>45388</v>
      </c>
      <c r="E2642" s="9" t="str">
        <f>+HYPERLINK("http://trademark.i-assist.jp/data/china/image_1882th/76376906.pdf","76376906")</f>
        <v>76376906</v>
      </c>
      <c r="F2642" s="6" t="s">
        <v>7218</v>
      </c>
      <c r="G2642" s="6" t="s">
        <v>7219</v>
      </c>
      <c r="H2642" s="8" t="s">
        <v>7220</v>
      </c>
      <c r="I2642" s="14">
        <v>45305</v>
      </c>
    </row>
    <row r="2643" spans="1:9" x14ac:dyDescent="0.15">
      <c r="A2643" s="5">
        <v>2642</v>
      </c>
      <c r="B2643" s="6" t="s">
        <v>9</v>
      </c>
      <c r="C2643" s="7">
        <v>1882</v>
      </c>
      <c r="D2643" s="8">
        <v>45388</v>
      </c>
      <c r="E2643" s="9" t="str">
        <f>+HYPERLINK("http://trademark.i-assist.jp/data/china/image_1882th/76377143.pdf","76377143")</f>
        <v>76377143</v>
      </c>
      <c r="F2643" s="6" t="s">
        <v>7221</v>
      </c>
      <c r="G2643" s="6" t="s">
        <v>7222</v>
      </c>
      <c r="H2643" s="8" t="s">
        <v>7223</v>
      </c>
      <c r="I2643" s="14">
        <v>45305</v>
      </c>
    </row>
    <row r="2644" spans="1:9" x14ac:dyDescent="0.15">
      <c r="A2644" s="5">
        <v>2643</v>
      </c>
      <c r="B2644" s="6" t="s">
        <v>9</v>
      </c>
      <c r="C2644" s="7">
        <v>1882</v>
      </c>
      <c r="D2644" s="8">
        <v>45388</v>
      </c>
      <c r="E2644" s="9" t="str">
        <f>+HYPERLINK("http://trademark.i-assist.jp/data/china/image_1882th/76377201.pdf","76377201")</f>
        <v>76377201</v>
      </c>
      <c r="F2644" s="6" t="s">
        <v>7224</v>
      </c>
      <c r="G2644" s="6" t="s">
        <v>7225</v>
      </c>
      <c r="H2644" s="8" t="s">
        <v>7226</v>
      </c>
      <c r="I2644" s="14">
        <v>45305</v>
      </c>
    </row>
    <row r="2645" spans="1:9" x14ac:dyDescent="0.15">
      <c r="A2645" s="5">
        <v>2644</v>
      </c>
      <c r="B2645" s="6" t="s">
        <v>9</v>
      </c>
      <c r="C2645" s="7">
        <v>1882</v>
      </c>
      <c r="D2645" s="8">
        <v>45388</v>
      </c>
      <c r="E2645" s="9" t="str">
        <f>+HYPERLINK("http://trademark.i-assist.jp/data/china/image_1882th/76377241.pdf","76377241")</f>
        <v>76377241</v>
      </c>
      <c r="F2645" s="6" t="s">
        <v>7227</v>
      </c>
      <c r="G2645" s="6" t="s">
        <v>7228</v>
      </c>
      <c r="H2645" s="8" t="s">
        <v>7229</v>
      </c>
      <c r="I2645" s="14">
        <v>45305</v>
      </c>
    </row>
    <row r="2646" spans="1:9" x14ac:dyDescent="0.15">
      <c r="A2646" s="5">
        <v>2645</v>
      </c>
      <c r="B2646" s="6" t="s">
        <v>9</v>
      </c>
      <c r="C2646" s="7">
        <v>1882</v>
      </c>
      <c r="D2646" s="8">
        <v>45388</v>
      </c>
      <c r="E2646" s="9" t="str">
        <f>+HYPERLINK("http://trademark.i-assist.jp/data/china/image_1882th/76377344.pdf","76377344")</f>
        <v>76377344</v>
      </c>
      <c r="F2646" s="6" t="s">
        <v>7230</v>
      </c>
      <c r="G2646" s="6" t="s">
        <v>7201</v>
      </c>
      <c r="H2646" s="8" t="s">
        <v>7231</v>
      </c>
      <c r="I2646" s="14">
        <v>45305</v>
      </c>
    </row>
    <row r="2647" spans="1:9" x14ac:dyDescent="0.15">
      <c r="A2647" s="5">
        <v>2646</v>
      </c>
      <c r="B2647" s="6" t="s">
        <v>9</v>
      </c>
      <c r="C2647" s="7">
        <v>1882</v>
      </c>
      <c r="D2647" s="8">
        <v>45388</v>
      </c>
      <c r="E2647" s="9" t="str">
        <f>+HYPERLINK("http://trademark.i-assist.jp/data/china/image_1882th/76377509.pdf","76377509")</f>
        <v>76377509</v>
      </c>
      <c r="F2647" s="6" t="s">
        <v>7232</v>
      </c>
      <c r="G2647" s="6" t="s">
        <v>7233</v>
      </c>
      <c r="H2647" s="8" t="s">
        <v>7234</v>
      </c>
      <c r="I2647" s="14">
        <v>45305</v>
      </c>
    </row>
    <row r="2648" spans="1:9" x14ac:dyDescent="0.15">
      <c r="A2648" s="5">
        <v>2647</v>
      </c>
      <c r="B2648" s="6" t="s">
        <v>9</v>
      </c>
      <c r="C2648" s="7">
        <v>1882</v>
      </c>
      <c r="D2648" s="8">
        <v>45388</v>
      </c>
      <c r="E2648" s="9" t="str">
        <f>+HYPERLINK("http://trademark.i-assist.jp/data/china/image_1882th/76377606.pdf","76377606")</f>
        <v>76377606</v>
      </c>
      <c r="F2648" s="6" t="s">
        <v>7235</v>
      </c>
      <c r="G2648" s="6" t="s">
        <v>7236</v>
      </c>
      <c r="H2648" s="8" t="s">
        <v>7237</v>
      </c>
      <c r="I2648" s="14">
        <v>45305</v>
      </c>
    </row>
    <row r="2649" spans="1:9" x14ac:dyDescent="0.15">
      <c r="A2649" s="5">
        <v>2648</v>
      </c>
      <c r="B2649" s="6" t="s">
        <v>9</v>
      </c>
      <c r="C2649" s="7">
        <v>1882</v>
      </c>
      <c r="D2649" s="8">
        <v>45388</v>
      </c>
      <c r="E2649" s="9" t="str">
        <f>+HYPERLINK("http://trademark.i-assist.jp/data/china/image_1882th/76377645.pdf","76377645")</f>
        <v>76377645</v>
      </c>
      <c r="F2649" s="6" t="s">
        <v>7238</v>
      </c>
      <c r="G2649" s="6" t="s">
        <v>7219</v>
      </c>
      <c r="H2649" s="8" t="s">
        <v>7239</v>
      </c>
      <c r="I2649" s="14">
        <v>45305</v>
      </c>
    </row>
    <row r="2650" spans="1:9" x14ac:dyDescent="0.15">
      <c r="A2650" s="5">
        <v>2649</v>
      </c>
      <c r="B2650" s="6" t="s">
        <v>9</v>
      </c>
      <c r="C2650" s="7">
        <v>1882</v>
      </c>
      <c r="D2650" s="8">
        <v>45388</v>
      </c>
      <c r="E2650" s="9" t="str">
        <f>+HYPERLINK("http://trademark.i-assist.jp/data/china/image_1882th/76377834.pdf","76377834")</f>
        <v>76377834</v>
      </c>
      <c r="F2650" s="6" t="s">
        <v>7240</v>
      </c>
      <c r="G2650" s="6" t="s">
        <v>7198</v>
      </c>
      <c r="H2650" s="8" t="s">
        <v>7241</v>
      </c>
      <c r="I2650" s="14">
        <v>45305</v>
      </c>
    </row>
    <row r="2651" spans="1:9" x14ac:dyDescent="0.15">
      <c r="A2651" s="5">
        <v>2650</v>
      </c>
      <c r="B2651" s="6" t="s">
        <v>9</v>
      </c>
      <c r="C2651" s="7">
        <v>1882</v>
      </c>
      <c r="D2651" s="8">
        <v>45388</v>
      </c>
      <c r="E2651" s="9" t="str">
        <f>+HYPERLINK("http://trademark.i-assist.jp/data/china/image_1882th/76378106.pdf","76378106")</f>
        <v>76378106</v>
      </c>
      <c r="F2651" s="6" t="s">
        <v>7242</v>
      </c>
      <c r="G2651" s="6" t="s">
        <v>7219</v>
      </c>
      <c r="H2651" s="8" t="s">
        <v>7243</v>
      </c>
      <c r="I2651" s="14">
        <v>45305</v>
      </c>
    </row>
    <row r="2652" spans="1:9" x14ac:dyDescent="0.15">
      <c r="A2652" s="5">
        <v>2651</v>
      </c>
      <c r="B2652" s="6" t="s">
        <v>9</v>
      </c>
      <c r="C2652" s="7">
        <v>1882</v>
      </c>
      <c r="D2652" s="8">
        <v>45388</v>
      </c>
      <c r="E2652" s="9" t="str">
        <f>+HYPERLINK("http://trademark.i-assist.jp/data/china/image_1882th/76378271.pdf","76378271")</f>
        <v>76378271</v>
      </c>
      <c r="F2652" s="6" t="s">
        <v>7244</v>
      </c>
      <c r="G2652" s="6" t="s">
        <v>7245</v>
      </c>
      <c r="H2652" s="8" t="s">
        <v>7246</v>
      </c>
      <c r="I2652" s="14">
        <v>45305</v>
      </c>
    </row>
    <row r="2653" spans="1:9" x14ac:dyDescent="0.15">
      <c r="A2653" s="5">
        <v>2652</v>
      </c>
      <c r="B2653" s="6" t="s">
        <v>9</v>
      </c>
      <c r="C2653" s="7">
        <v>1882</v>
      </c>
      <c r="D2653" s="8">
        <v>45388</v>
      </c>
      <c r="E2653" s="9" t="str">
        <f>+HYPERLINK("http://trademark.i-assist.jp/data/china/image_1882th/76378349.pdf","76378349")</f>
        <v>76378349</v>
      </c>
      <c r="F2653" s="6" t="s">
        <v>7247</v>
      </c>
      <c r="G2653" s="6" t="s">
        <v>7248</v>
      </c>
      <c r="H2653" s="8" t="s">
        <v>7249</v>
      </c>
      <c r="I2653" s="14">
        <v>45305</v>
      </c>
    </row>
    <row r="2654" spans="1:9" x14ac:dyDescent="0.15">
      <c r="A2654" s="5">
        <v>2653</v>
      </c>
      <c r="B2654" s="6" t="s">
        <v>9</v>
      </c>
      <c r="C2654" s="7">
        <v>1882</v>
      </c>
      <c r="D2654" s="8">
        <v>45388</v>
      </c>
      <c r="E2654" s="9" t="str">
        <f>+HYPERLINK("http://trademark.i-assist.jp/data/china/image_1882th/76378546.pdf","76378546")</f>
        <v>76378546</v>
      </c>
      <c r="F2654" s="6" t="s">
        <v>26</v>
      </c>
      <c r="G2654" s="6" t="s">
        <v>7250</v>
      </c>
      <c r="H2654" s="8" t="s">
        <v>7251</v>
      </c>
      <c r="I2654" s="14">
        <v>45303</v>
      </c>
    </row>
    <row r="2655" spans="1:9" x14ac:dyDescent="0.15">
      <c r="A2655" s="5">
        <v>2654</v>
      </c>
      <c r="B2655" s="6" t="s">
        <v>9</v>
      </c>
      <c r="C2655" s="7">
        <v>1882</v>
      </c>
      <c r="D2655" s="8">
        <v>45388</v>
      </c>
      <c r="E2655" s="9" t="str">
        <f>+HYPERLINK("http://trademark.i-assist.jp/data/china/image_1882th/76378553.pdf","76378553")</f>
        <v>76378553</v>
      </c>
      <c r="F2655" s="6" t="s">
        <v>7252</v>
      </c>
      <c r="G2655" s="6" t="s">
        <v>7253</v>
      </c>
      <c r="H2655" s="8" t="s">
        <v>7254</v>
      </c>
      <c r="I2655" s="14">
        <v>45303</v>
      </c>
    </row>
    <row r="2656" spans="1:9" x14ac:dyDescent="0.15">
      <c r="A2656" s="5">
        <v>2655</v>
      </c>
      <c r="B2656" s="6" t="s">
        <v>9</v>
      </c>
      <c r="C2656" s="7">
        <v>1882</v>
      </c>
      <c r="D2656" s="8">
        <v>45388</v>
      </c>
      <c r="E2656" s="9" t="str">
        <f>+HYPERLINK("http://trademark.i-assist.jp/data/china/image_1882th/76378556.pdf","76378556")</f>
        <v>76378556</v>
      </c>
      <c r="F2656" s="6" t="s">
        <v>7255</v>
      </c>
      <c r="G2656" s="6" t="s">
        <v>7256</v>
      </c>
      <c r="H2656" s="8" t="s">
        <v>7257</v>
      </c>
      <c r="I2656" s="14">
        <v>45303</v>
      </c>
    </row>
    <row r="2657" spans="1:9" x14ac:dyDescent="0.15">
      <c r="A2657" s="5">
        <v>2656</v>
      </c>
      <c r="B2657" s="6" t="s">
        <v>9</v>
      </c>
      <c r="C2657" s="7">
        <v>1882</v>
      </c>
      <c r="D2657" s="8">
        <v>45388</v>
      </c>
      <c r="E2657" s="9" t="str">
        <f>+HYPERLINK("http://trademark.i-assist.jp/data/china/image_1882th/76378721.pdf","76378721")</f>
        <v>76378721</v>
      </c>
      <c r="F2657" s="6" t="s">
        <v>7258</v>
      </c>
      <c r="G2657" s="6" t="s">
        <v>7259</v>
      </c>
      <c r="H2657" s="8" t="s">
        <v>7260</v>
      </c>
      <c r="I2657" s="14">
        <v>45306</v>
      </c>
    </row>
    <row r="2658" spans="1:9" x14ac:dyDescent="0.15">
      <c r="A2658" s="5">
        <v>2657</v>
      </c>
      <c r="B2658" s="6" t="s">
        <v>9</v>
      </c>
      <c r="C2658" s="7">
        <v>1882</v>
      </c>
      <c r="D2658" s="8">
        <v>45388</v>
      </c>
      <c r="E2658" s="9" t="str">
        <f>+HYPERLINK("http://trademark.i-assist.jp/data/china/image_1882th/76379091.pdf","76379091")</f>
        <v>76379091</v>
      </c>
      <c r="F2658" s="6" t="s">
        <v>26</v>
      </c>
      <c r="G2658" s="6" t="s">
        <v>7261</v>
      </c>
      <c r="H2658" s="8" t="s">
        <v>7262</v>
      </c>
      <c r="I2658" s="14">
        <v>45305</v>
      </c>
    </row>
    <row r="2659" spans="1:9" x14ac:dyDescent="0.15">
      <c r="A2659" s="5">
        <v>2658</v>
      </c>
      <c r="B2659" s="6" t="s">
        <v>9</v>
      </c>
      <c r="C2659" s="7">
        <v>1882</v>
      </c>
      <c r="D2659" s="8">
        <v>45388</v>
      </c>
      <c r="E2659" s="9" t="str">
        <f>+HYPERLINK("http://trademark.i-assist.jp/data/china/image_1882th/76379304.pdf","76379304")</f>
        <v>76379304</v>
      </c>
      <c r="F2659" s="6" t="s">
        <v>7263</v>
      </c>
      <c r="G2659" s="6" t="s">
        <v>7264</v>
      </c>
      <c r="H2659" s="8" t="s">
        <v>7265</v>
      </c>
      <c r="I2659" s="14">
        <v>45306</v>
      </c>
    </row>
    <row r="2660" spans="1:9" x14ac:dyDescent="0.15">
      <c r="A2660" s="5">
        <v>2659</v>
      </c>
      <c r="B2660" s="6" t="s">
        <v>9</v>
      </c>
      <c r="C2660" s="7">
        <v>1882</v>
      </c>
      <c r="D2660" s="8">
        <v>45388</v>
      </c>
      <c r="E2660" s="9" t="str">
        <f>+HYPERLINK("http://trademark.i-assist.jp/data/china/image_1882th/76379362.pdf","76379362")</f>
        <v>76379362</v>
      </c>
      <c r="F2660" s="6" t="s">
        <v>7266</v>
      </c>
      <c r="G2660" s="6" t="s">
        <v>7267</v>
      </c>
      <c r="H2660" s="8" t="s">
        <v>7268</v>
      </c>
      <c r="I2660" s="14">
        <v>45306</v>
      </c>
    </row>
    <row r="2661" spans="1:9" x14ac:dyDescent="0.15">
      <c r="A2661" s="5">
        <v>2660</v>
      </c>
      <c r="B2661" s="6" t="s">
        <v>9</v>
      </c>
      <c r="C2661" s="7">
        <v>1882</v>
      </c>
      <c r="D2661" s="8">
        <v>45388</v>
      </c>
      <c r="E2661" s="9" t="str">
        <f>+HYPERLINK("http://trademark.i-assist.jp/data/china/image_1882th/76379841.pdf","76379841")</f>
        <v>76379841</v>
      </c>
      <c r="F2661" s="6" t="s">
        <v>7269</v>
      </c>
      <c r="G2661" s="6" t="s">
        <v>7270</v>
      </c>
      <c r="H2661" s="8" t="s">
        <v>7271</v>
      </c>
      <c r="I2661" s="14">
        <v>45306</v>
      </c>
    </row>
    <row r="2662" spans="1:9" x14ac:dyDescent="0.15">
      <c r="A2662" s="5">
        <v>2661</v>
      </c>
      <c r="B2662" s="6" t="s">
        <v>9</v>
      </c>
      <c r="C2662" s="7">
        <v>1882</v>
      </c>
      <c r="D2662" s="8">
        <v>45388</v>
      </c>
      <c r="E2662" s="9" t="str">
        <f>+HYPERLINK("http://trademark.i-assist.jp/data/china/image_1882th/76380326.pdf","76380326")</f>
        <v>76380326</v>
      </c>
      <c r="F2662" s="6" t="s">
        <v>7272</v>
      </c>
      <c r="G2662" s="6" t="s">
        <v>7272</v>
      </c>
      <c r="H2662" s="8" t="s">
        <v>7273</v>
      </c>
      <c r="I2662" s="14">
        <v>45306</v>
      </c>
    </row>
    <row r="2663" spans="1:9" x14ac:dyDescent="0.15">
      <c r="A2663" s="5">
        <v>2662</v>
      </c>
      <c r="B2663" s="6" t="s">
        <v>9</v>
      </c>
      <c r="C2663" s="7">
        <v>1882</v>
      </c>
      <c r="D2663" s="8">
        <v>45388</v>
      </c>
      <c r="E2663" s="9" t="str">
        <f>+HYPERLINK("http://trademark.i-assist.jp/data/china/image_1882th/76382555.pdf","76382555")</f>
        <v>76382555</v>
      </c>
      <c r="F2663" s="6" t="s">
        <v>7274</v>
      </c>
      <c r="G2663" s="6" t="s">
        <v>7275</v>
      </c>
      <c r="H2663" s="8" t="s">
        <v>7276</v>
      </c>
      <c r="I2663" s="14">
        <v>45306</v>
      </c>
    </row>
    <row r="2664" spans="1:9" x14ac:dyDescent="0.15">
      <c r="A2664" s="5">
        <v>2663</v>
      </c>
      <c r="B2664" s="6" t="s">
        <v>9</v>
      </c>
      <c r="C2664" s="7">
        <v>1882</v>
      </c>
      <c r="D2664" s="8">
        <v>45388</v>
      </c>
      <c r="E2664" s="9" t="str">
        <f>+HYPERLINK("http://trademark.i-assist.jp/data/china/image_1882th/76382639.pdf","76382639")</f>
        <v>76382639</v>
      </c>
      <c r="F2664" s="6" t="s">
        <v>7277</v>
      </c>
      <c r="G2664" s="6" t="s">
        <v>7278</v>
      </c>
      <c r="H2664" s="8" t="s">
        <v>7279</v>
      </c>
      <c r="I2664" s="14">
        <v>45306</v>
      </c>
    </row>
    <row r="2665" spans="1:9" x14ac:dyDescent="0.15">
      <c r="A2665" s="5">
        <v>2664</v>
      </c>
      <c r="B2665" s="6" t="s">
        <v>9</v>
      </c>
      <c r="C2665" s="7">
        <v>1882</v>
      </c>
      <c r="D2665" s="8">
        <v>45388</v>
      </c>
      <c r="E2665" s="9" t="str">
        <f>+HYPERLINK("http://trademark.i-assist.jp/data/china/image_1882th/76382971.pdf","76382971")</f>
        <v>76382971</v>
      </c>
      <c r="F2665" s="6" t="s">
        <v>7280</v>
      </c>
      <c r="G2665" s="6" t="s">
        <v>7281</v>
      </c>
      <c r="H2665" s="8" t="s">
        <v>7282</v>
      </c>
      <c r="I2665" s="14">
        <v>45306</v>
      </c>
    </row>
    <row r="2666" spans="1:9" x14ac:dyDescent="0.15">
      <c r="A2666" s="5">
        <v>2665</v>
      </c>
      <c r="B2666" s="6" t="s">
        <v>9</v>
      </c>
      <c r="C2666" s="7">
        <v>1882</v>
      </c>
      <c r="D2666" s="8">
        <v>45388</v>
      </c>
      <c r="E2666" s="9" t="str">
        <f>+HYPERLINK("http://trademark.i-assist.jp/data/china/image_1882th/76383342.pdf","76383342")</f>
        <v>76383342</v>
      </c>
      <c r="F2666" s="6" t="s">
        <v>7283</v>
      </c>
      <c r="G2666" s="6" t="s">
        <v>7284</v>
      </c>
      <c r="H2666" s="8" t="s">
        <v>7285</v>
      </c>
      <c r="I2666" s="14">
        <v>45306</v>
      </c>
    </row>
    <row r="2667" spans="1:9" x14ac:dyDescent="0.15">
      <c r="A2667" s="5">
        <v>2666</v>
      </c>
      <c r="B2667" s="6" t="s">
        <v>9</v>
      </c>
      <c r="C2667" s="7">
        <v>1882</v>
      </c>
      <c r="D2667" s="8">
        <v>45388</v>
      </c>
      <c r="E2667" s="9" t="str">
        <f>+HYPERLINK("http://trademark.i-assist.jp/data/china/image_1882th/76383436.pdf","76383436")</f>
        <v>76383436</v>
      </c>
      <c r="F2667" s="6" t="s">
        <v>7286</v>
      </c>
      <c r="G2667" s="6" t="s">
        <v>7287</v>
      </c>
      <c r="H2667" s="8" t="s">
        <v>7288</v>
      </c>
      <c r="I2667" s="14">
        <v>45306</v>
      </c>
    </row>
    <row r="2668" spans="1:9" x14ac:dyDescent="0.15">
      <c r="A2668" s="5">
        <v>2667</v>
      </c>
      <c r="B2668" s="6" t="s">
        <v>9</v>
      </c>
      <c r="C2668" s="7">
        <v>1882</v>
      </c>
      <c r="D2668" s="8">
        <v>45388</v>
      </c>
      <c r="E2668" s="9" t="str">
        <f>+HYPERLINK("http://trademark.i-assist.jp/data/china/image_1882th/76384456.pdf","76384456")</f>
        <v>76384456</v>
      </c>
      <c r="F2668" s="6" t="s">
        <v>7289</v>
      </c>
      <c r="G2668" s="6" t="s">
        <v>7290</v>
      </c>
      <c r="H2668" s="8" t="s">
        <v>7291</v>
      </c>
      <c r="I2668" s="14">
        <v>45306</v>
      </c>
    </row>
    <row r="2669" spans="1:9" x14ac:dyDescent="0.15">
      <c r="A2669" s="5">
        <v>2668</v>
      </c>
      <c r="B2669" s="6" t="s">
        <v>9</v>
      </c>
      <c r="C2669" s="7">
        <v>1882</v>
      </c>
      <c r="D2669" s="8">
        <v>45388</v>
      </c>
      <c r="E2669" s="9" t="str">
        <f>+HYPERLINK("http://trademark.i-assist.jp/data/china/image_1882th/76384525.pdf","76384525")</f>
        <v>76384525</v>
      </c>
      <c r="F2669" s="6" t="s">
        <v>7292</v>
      </c>
      <c r="G2669" s="6" t="s">
        <v>7293</v>
      </c>
      <c r="H2669" s="8" t="s">
        <v>7294</v>
      </c>
      <c r="I2669" s="14">
        <v>45306</v>
      </c>
    </row>
    <row r="2670" spans="1:9" x14ac:dyDescent="0.15">
      <c r="A2670" s="5">
        <v>2669</v>
      </c>
      <c r="B2670" s="6" t="s">
        <v>9</v>
      </c>
      <c r="C2670" s="7">
        <v>1882</v>
      </c>
      <c r="D2670" s="8">
        <v>45388</v>
      </c>
      <c r="E2670" s="9" t="str">
        <f>+HYPERLINK("http://trademark.i-assist.jp/data/china/image_1882th/76384733.pdf","76384733")</f>
        <v>76384733</v>
      </c>
      <c r="F2670" s="6" t="s">
        <v>7295</v>
      </c>
      <c r="G2670" s="6" t="s">
        <v>7296</v>
      </c>
      <c r="H2670" s="8" t="s">
        <v>7297</v>
      </c>
      <c r="I2670" s="14">
        <v>45306</v>
      </c>
    </row>
    <row r="2671" spans="1:9" x14ac:dyDescent="0.15">
      <c r="A2671" s="5">
        <v>2670</v>
      </c>
      <c r="B2671" s="6" t="s">
        <v>9</v>
      </c>
      <c r="C2671" s="7">
        <v>1882</v>
      </c>
      <c r="D2671" s="8">
        <v>45388</v>
      </c>
      <c r="E2671" s="9" t="str">
        <f>+HYPERLINK("http://trademark.i-assist.jp/data/china/image_1882th/76385707.pdf","76385707")</f>
        <v>76385707</v>
      </c>
      <c r="F2671" s="6" t="s">
        <v>7298</v>
      </c>
      <c r="G2671" s="6" t="s">
        <v>7299</v>
      </c>
      <c r="H2671" s="8" t="s">
        <v>7300</v>
      </c>
      <c r="I2671" s="14">
        <v>45306</v>
      </c>
    </row>
    <row r="2672" spans="1:9" x14ac:dyDescent="0.15">
      <c r="A2672" s="5">
        <v>2671</v>
      </c>
      <c r="B2672" s="6" t="s">
        <v>9</v>
      </c>
      <c r="C2672" s="7">
        <v>1882</v>
      </c>
      <c r="D2672" s="8">
        <v>45388</v>
      </c>
      <c r="E2672" s="9" t="str">
        <f>+HYPERLINK("http://trademark.i-assist.jp/data/china/image_1882th/76386651.pdf","76386651")</f>
        <v>76386651</v>
      </c>
      <c r="F2672" s="6" t="s">
        <v>7301</v>
      </c>
      <c r="G2672" s="6" t="s">
        <v>7302</v>
      </c>
      <c r="H2672" s="8" t="s">
        <v>7303</v>
      </c>
      <c r="I2672" s="14">
        <v>45306</v>
      </c>
    </row>
    <row r="2673" spans="1:9" x14ac:dyDescent="0.15">
      <c r="A2673" s="5">
        <v>2672</v>
      </c>
      <c r="B2673" s="6" t="s">
        <v>9</v>
      </c>
      <c r="C2673" s="7">
        <v>1882</v>
      </c>
      <c r="D2673" s="8">
        <v>45388</v>
      </c>
      <c r="E2673" s="9" t="str">
        <f>+HYPERLINK("http://trademark.i-assist.jp/data/china/image_1882th/76387644.pdf","76387644")</f>
        <v>76387644</v>
      </c>
      <c r="F2673" s="6" t="s">
        <v>7304</v>
      </c>
      <c r="G2673" s="6" t="s">
        <v>7281</v>
      </c>
      <c r="H2673" s="8" t="s">
        <v>7305</v>
      </c>
      <c r="I2673" s="14">
        <v>45306</v>
      </c>
    </row>
    <row r="2674" spans="1:9" x14ac:dyDescent="0.15">
      <c r="A2674" s="5">
        <v>2673</v>
      </c>
      <c r="B2674" s="6" t="s">
        <v>9</v>
      </c>
      <c r="C2674" s="7">
        <v>1882</v>
      </c>
      <c r="D2674" s="8">
        <v>45388</v>
      </c>
      <c r="E2674" s="9" t="str">
        <f>+HYPERLINK("http://trademark.i-assist.jp/data/china/image_1882th/76388016.pdf","76388016")</f>
        <v>76388016</v>
      </c>
      <c r="F2674" s="6" t="s">
        <v>7306</v>
      </c>
      <c r="G2674" s="6" t="s">
        <v>7307</v>
      </c>
      <c r="H2674" s="8" t="s">
        <v>7308</v>
      </c>
      <c r="I2674" s="14">
        <v>45306</v>
      </c>
    </row>
    <row r="2675" spans="1:9" x14ac:dyDescent="0.15">
      <c r="A2675" s="5">
        <v>2674</v>
      </c>
      <c r="B2675" s="6" t="s">
        <v>9</v>
      </c>
      <c r="C2675" s="7">
        <v>1882</v>
      </c>
      <c r="D2675" s="8">
        <v>45388</v>
      </c>
      <c r="E2675" s="9" t="str">
        <f>+HYPERLINK("http://trademark.i-assist.jp/data/china/image_1882th/76388141.pdf","76388141")</f>
        <v>76388141</v>
      </c>
      <c r="F2675" s="6" t="s">
        <v>7309</v>
      </c>
      <c r="G2675" s="6" t="s">
        <v>7310</v>
      </c>
      <c r="H2675" s="8" t="s">
        <v>7311</v>
      </c>
      <c r="I2675" s="14">
        <v>45306</v>
      </c>
    </row>
    <row r="2676" spans="1:9" x14ac:dyDescent="0.15">
      <c r="A2676" s="5">
        <v>2675</v>
      </c>
      <c r="B2676" s="6" t="s">
        <v>9</v>
      </c>
      <c r="C2676" s="7">
        <v>1882</v>
      </c>
      <c r="D2676" s="8">
        <v>45388</v>
      </c>
      <c r="E2676" s="9" t="str">
        <f>+HYPERLINK("http://trademark.i-assist.jp/data/china/image_1882th/76388155.pdf","76388155")</f>
        <v>76388155</v>
      </c>
      <c r="F2676" s="6" t="s">
        <v>7312</v>
      </c>
      <c r="G2676" s="6" t="s">
        <v>7313</v>
      </c>
      <c r="H2676" s="8" t="s">
        <v>7314</v>
      </c>
      <c r="I2676" s="14">
        <v>45306</v>
      </c>
    </row>
    <row r="2677" spans="1:9" x14ac:dyDescent="0.15">
      <c r="A2677" s="5">
        <v>2676</v>
      </c>
      <c r="B2677" s="6" t="s">
        <v>9</v>
      </c>
      <c r="C2677" s="7">
        <v>1882</v>
      </c>
      <c r="D2677" s="8">
        <v>45388</v>
      </c>
      <c r="E2677" s="9" t="str">
        <f>+HYPERLINK("http://trademark.i-assist.jp/data/china/image_1882th/76388539.pdf","76388539")</f>
        <v>76388539</v>
      </c>
      <c r="F2677" s="6" t="s">
        <v>7315</v>
      </c>
      <c r="G2677" s="6" t="s">
        <v>7316</v>
      </c>
      <c r="H2677" s="8" t="s">
        <v>7317</v>
      </c>
      <c r="I2677" s="14">
        <v>45306</v>
      </c>
    </row>
    <row r="2678" spans="1:9" x14ac:dyDescent="0.15">
      <c r="A2678" s="5">
        <v>2677</v>
      </c>
      <c r="B2678" s="6" t="s">
        <v>9</v>
      </c>
      <c r="C2678" s="7">
        <v>1882</v>
      </c>
      <c r="D2678" s="8">
        <v>45388</v>
      </c>
      <c r="E2678" s="9" t="str">
        <f>+HYPERLINK("http://trademark.i-assist.jp/data/china/image_1882th/76388545.pdf","76388545")</f>
        <v>76388545</v>
      </c>
      <c r="F2678" s="6" t="s">
        <v>7318</v>
      </c>
      <c r="G2678" s="6" t="s">
        <v>7319</v>
      </c>
      <c r="H2678" s="8" t="s">
        <v>7320</v>
      </c>
      <c r="I2678" s="14">
        <v>45306</v>
      </c>
    </row>
    <row r="2679" spans="1:9" x14ac:dyDescent="0.15">
      <c r="A2679" s="5">
        <v>2678</v>
      </c>
      <c r="B2679" s="6" t="s">
        <v>9</v>
      </c>
      <c r="C2679" s="7">
        <v>1882</v>
      </c>
      <c r="D2679" s="8">
        <v>45388</v>
      </c>
      <c r="E2679" s="9" t="str">
        <f>+HYPERLINK("http://trademark.i-assist.jp/data/china/image_1882th/76388899.pdf","76388899")</f>
        <v>76388899</v>
      </c>
      <c r="F2679" s="6" t="s">
        <v>7321</v>
      </c>
      <c r="G2679" s="6" t="s">
        <v>7322</v>
      </c>
      <c r="H2679" s="8" t="s">
        <v>7323</v>
      </c>
      <c r="I2679" s="14">
        <v>45306</v>
      </c>
    </row>
    <row r="2680" spans="1:9" x14ac:dyDescent="0.15">
      <c r="A2680" s="5">
        <v>2679</v>
      </c>
      <c r="B2680" s="6" t="s">
        <v>9</v>
      </c>
      <c r="C2680" s="7">
        <v>1882</v>
      </c>
      <c r="D2680" s="8">
        <v>45388</v>
      </c>
      <c r="E2680" s="9" t="str">
        <f>+HYPERLINK("http://trademark.i-assist.jp/data/china/image_1882th/76389191.pdf","76389191")</f>
        <v>76389191</v>
      </c>
      <c r="F2680" s="6" t="s">
        <v>7324</v>
      </c>
      <c r="G2680" s="6" t="s">
        <v>7275</v>
      </c>
      <c r="H2680" s="8" t="s">
        <v>7325</v>
      </c>
      <c r="I2680" s="14">
        <v>45306</v>
      </c>
    </row>
    <row r="2681" spans="1:9" x14ac:dyDescent="0.15">
      <c r="A2681" s="5">
        <v>2680</v>
      </c>
      <c r="B2681" s="6" t="s">
        <v>9</v>
      </c>
      <c r="C2681" s="7">
        <v>1882</v>
      </c>
      <c r="D2681" s="8">
        <v>45388</v>
      </c>
      <c r="E2681" s="9" t="str">
        <f>+HYPERLINK("http://trademark.i-assist.jp/data/china/image_1882th/76389300.pdf","76389300")</f>
        <v>76389300</v>
      </c>
      <c r="F2681" s="6" t="s">
        <v>7326</v>
      </c>
      <c r="G2681" s="6" t="s">
        <v>7327</v>
      </c>
      <c r="H2681" s="8" t="s">
        <v>7328</v>
      </c>
      <c r="I2681" s="14">
        <v>45306</v>
      </c>
    </row>
    <row r="2682" spans="1:9" x14ac:dyDescent="0.15">
      <c r="A2682" s="5">
        <v>2681</v>
      </c>
      <c r="B2682" s="6" t="s">
        <v>9</v>
      </c>
      <c r="C2682" s="7">
        <v>1882</v>
      </c>
      <c r="D2682" s="8">
        <v>45388</v>
      </c>
      <c r="E2682" s="9" t="str">
        <f>+HYPERLINK("http://trademark.i-assist.jp/data/china/image_1882th/76389398.pdf","76389398")</f>
        <v>76389398</v>
      </c>
      <c r="F2682" s="6" t="s">
        <v>7329</v>
      </c>
      <c r="G2682" s="6" t="s">
        <v>7330</v>
      </c>
      <c r="H2682" s="8" t="s">
        <v>7331</v>
      </c>
      <c r="I2682" s="14">
        <v>45306</v>
      </c>
    </row>
    <row r="2683" spans="1:9" x14ac:dyDescent="0.15">
      <c r="A2683" s="5">
        <v>2682</v>
      </c>
      <c r="B2683" s="6" t="s">
        <v>9</v>
      </c>
      <c r="C2683" s="7">
        <v>1882</v>
      </c>
      <c r="D2683" s="8">
        <v>45388</v>
      </c>
      <c r="E2683" s="9" t="str">
        <f>+HYPERLINK("http://trademark.i-assist.jp/data/china/image_1882th/76389634.pdf","76389634")</f>
        <v>76389634</v>
      </c>
      <c r="F2683" s="6" t="s">
        <v>7332</v>
      </c>
      <c r="G2683" s="6" t="s">
        <v>7333</v>
      </c>
      <c r="H2683" s="8" t="s">
        <v>7334</v>
      </c>
      <c r="I2683" s="14">
        <v>45306</v>
      </c>
    </row>
    <row r="2684" spans="1:9" x14ac:dyDescent="0.15">
      <c r="A2684" s="5">
        <v>2683</v>
      </c>
      <c r="B2684" s="6" t="s">
        <v>9</v>
      </c>
      <c r="C2684" s="7">
        <v>1882</v>
      </c>
      <c r="D2684" s="8">
        <v>45388</v>
      </c>
      <c r="E2684" s="9" t="str">
        <f>+HYPERLINK("http://trademark.i-assist.jp/data/china/image_1882th/76389697.pdf","76389697")</f>
        <v>76389697</v>
      </c>
      <c r="F2684" s="6" t="s">
        <v>7335</v>
      </c>
      <c r="G2684" s="6" t="s">
        <v>7313</v>
      </c>
      <c r="H2684" s="8" t="s">
        <v>7336</v>
      </c>
      <c r="I2684" s="14">
        <v>45306</v>
      </c>
    </row>
    <row r="2685" spans="1:9" x14ac:dyDescent="0.15">
      <c r="A2685" s="5">
        <v>2684</v>
      </c>
      <c r="B2685" s="6" t="s">
        <v>9</v>
      </c>
      <c r="C2685" s="7">
        <v>1882</v>
      </c>
      <c r="D2685" s="8">
        <v>45388</v>
      </c>
      <c r="E2685" s="9" t="str">
        <f>+HYPERLINK("http://trademark.i-assist.jp/data/china/image_1882th/76390090.pdf","76390090")</f>
        <v>76390090</v>
      </c>
      <c r="F2685" s="6" t="s">
        <v>7337</v>
      </c>
      <c r="G2685" s="6" t="s">
        <v>7338</v>
      </c>
      <c r="H2685" s="8" t="s">
        <v>7339</v>
      </c>
      <c r="I2685" s="14">
        <v>45306</v>
      </c>
    </row>
    <row r="2686" spans="1:9" x14ac:dyDescent="0.15">
      <c r="A2686" s="5">
        <v>2685</v>
      </c>
      <c r="B2686" s="6" t="s">
        <v>9</v>
      </c>
      <c r="C2686" s="7">
        <v>1882</v>
      </c>
      <c r="D2686" s="8">
        <v>45388</v>
      </c>
      <c r="E2686" s="9" t="str">
        <f>+HYPERLINK("http://trademark.i-assist.jp/data/china/image_1882th/76390148.pdf","76390148")</f>
        <v>76390148</v>
      </c>
      <c r="F2686" s="6" t="s">
        <v>7340</v>
      </c>
      <c r="G2686" s="6" t="s">
        <v>7313</v>
      </c>
      <c r="H2686" s="8" t="s">
        <v>7341</v>
      </c>
      <c r="I2686" s="14">
        <v>45306</v>
      </c>
    </row>
    <row r="2687" spans="1:9" x14ac:dyDescent="0.15">
      <c r="A2687" s="5">
        <v>2686</v>
      </c>
      <c r="B2687" s="6" t="s">
        <v>9</v>
      </c>
      <c r="C2687" s="7">
        <v>1882</v>
      </c>
      <c r="D2687" s="8">
        <v>45388</v>
      </c>
      <c r="E2687" s="9" t="str">
        <f>+HYPERLINK("http://trademark.i-assist.jp/data/china/image_1882th/76390230.pdf","76390230")</f>
        <v>76390230</v>
      </c>
      <c r="F2687" s="6" t="s">
        <v>26</v>
      </c>
      <c r="G2687" s="6" t="s">
        <v>7342</v>
      </c>
      <c r="H2687" s="8" t="s">
        <v>7343</v>
      </c>
      <c r="I2687" s="14">
        <v>45306</v>
      </c>
    </row>
    <row r="2688" spans="1:9" x14ac:dyDescent="0.15">
      <c r="A2688" s="5">
        <v>2687</v>
      </c>
      <c r="B2688" s="6" t="s">
        <v>9</v>
      </c>
      <c r="C2688" s="7">
        <v>1882</v>
      </c>
      <c r="D2688" s="8">
        <v>45388</v>
      </c>
      <c r="E2688" s="9" t="str">
        <f>+HYPERLINK("http://trademark.i-assist.jp/data/china/image_1882th/76390309.pdf","76390309")</f>
        <v>76390309</v>
      </c>
      <c r="F2688" s="6" t="s">
        <v>7344</v>
      </c>
      <c r="G2688" s="6" t="s">
        <v>7345</v>
      </c>
      <c r="H2688" s="8" t="s">
        <v>7346</v>
      </c>
      <c r="I2688" s="14">
        <v>45306</v>
      </c>
    </row>
    <row r="2689" spans="1:9" x14ac:dyDescent="0.15">
      <c r="A2689" s="5">
        <v>2688</v>
      </c>
      <c r="B2689" s="6" t="s">
        <v>9</v>
      </c>
      <c r="C2689" s="7">
        <v>1882</v>
      </c>
      <c r="D2689" s="8">
        <v>45388</v>
      </c>
      <c r="E2689" s="9" t="str">
        <f>+HYPERLINK("http://trademark.i-assist.jp/data/china/image_1882th/76390407.pdf","76390407")</f>
        <v>76390407</v>
      </c>
      <c r="F2689" s="6" t="s">
        <v>7347</v>
      </c>
      <c r="G2689" s="6" t="s">
        <v>7348</v>
      </c>
      <c r="H2689" s="8" t="s">
        <v>7349</v>
      </c>
      <c r="I2689" s="14">
        <v>45306</v>
      </c>
    </row>
    <row r="2690" spans="1:9" x14ac:dyDescent="0.15">
      <c r="A2690" s="5">
        <v>2689</v>
      </c>
      <c r="B2690" s="6" t="s">
        <v>9</v>
      </c>
      <c r="C2690" s="7">
        <v>1882</v>
      </c>
      <c r="D2690" s="8">
        <v>45388</v>
      </c>
      <c r="E2690" s="9" t="str">
        <f>+HYPERLINK("http://trademark.i-assist.jp/data/china/image_1882th/76391524.pdf","76391524")</f>
        <v>76391524</v>
      </c>
      <c r="F2690" s="6" t="s">
        <v>7350</v>
      </c>
      <c r="G2690" s="6" t="s">
        <v>7351</v>
      </c>
      <c r="H2690" s="8" t="s">
        <v>7352</v>
      </c>
      <c r="I2690" s="14">
        <v>45306</v>
      </c>
    </row>
    <row r="2691" spans="1:9" x14ac:dyDescent="0.15">
      <c r="A2691" s="5">
        <v>2690</v>
      </c>
      <c r="B2691" s="6" t="s">
        <v>9</v>
      </c>
      <c r="C2691" s="7">
        <v>1882</v>
      </c>
      <c r="D2691" s="8">
        <v>45388</v>
      </c>
      <c r="E2691" s="9" t="str">
        <f>+HYPERLINK("http://trademark.i-assist.jp/data/china/image_1882th/76391944.pdf","76391944")</f>
        <v>76391944</v>
      </c>
      <c r="F2691" s="6" t="s">
        <v>7353</v>
      </c>
      <c r="G2691" s="6" t="s">
        <v>7354</v>
      </c>
      <c r="H2691" s="8" t="s">
        <v>7355</v>
      </c>
      <c r="I2691" s="14">
        <v>45306</v>
      </c>
    </row>
    <row r="2692" spans="1:9" x14ac:dyDescent="0.15">
      <c r="A2692" s="5">
        <v>2691</v>
      </c>
      <c r="B2692" s="6" t="s">
        <v>9</v>
      </c>
      <c r="C2692" s="7">
        <v>1882</v>
      </c>
      <c r="D2692" s="8">
        <v>45388</v>
      </c>
      <c r="E2692" s="9" t="str">
        <f>+HYPERLINK("http://trademark.i-assist.jp/data/china/image_1882th/76393100.pdf","76393100")</f>
        <v>76393100</v>
      </c>
      <c r="F2692" s="6" t="s">
        <v>7356</v>
      </c>
      <c r="G2692" s="6" t="s">
        <v>7357</v>
      </c>
      <c r="H2692" s="8" t="s">
        <v>7358</v>
      </c>
      <c r="I2692" s="14">
        <v>45306</v>
      </c>
    </row>
    <row r="2693" spans="1:9" x14ac:dyDescent="0.15">
      <c r="A2693" s="5">
        <v>2692</v>
      </c>
      <c r="B2693" s="6" t="s">
        <v>9</v>
      </c>
      <c r="C2693" s="7">
        <v>1882</v>
      </c>
      <c r="D2693" s="8">
        <v>45388</v>
      </c>
      <c r="E2693" s="9" t="str">
        <f>+HYPERLINK("http://trademark.i-assist.jp/data/china/image_1882th/76393458.pdf","76393458")</f>
        <v>76393458</v>
      </c>
      <c r="F2693" s="6" t="s">
        <v>7359</v>
      </c>
      <c r="G2693" s="6" t="s">
        <v>7360</v>
      </c>
      <c r="H2693" s="8" t="s">
        <v>7361</v>
      </c>
      <c r="I2693" s="14">
        <v>45306</v>
      </c>
    </row>
    <row r="2694" spans="1:9" x14ac:dyDescent="0.15">
      <c r="A2694" s="5">
        <v>2693</v>
      </c>
      <c r="B2694" s="6" t="s">
        <v>9</v>
      </c>
      <c r="C2694" s="7">
        <v>1882</v>
      </c>
      <c r="D2694" s="8">
        <v>45388</v>
      </c>
      <c r="E2694" s="9" t="str">
        <f>+HYPERLINK("http://trademark.i-assist.jp/data/china/image_1882th/76393485.pdf","76393485")</f>
        <v>76393485</v>
      </c>
      <c r="F2694" s="6" t="s">
        <v>7362</v>
      </c>
      <c r="G2694" s="6" t="s">
        <v>7363</v>
      </c>
      <c r="H2694" s="8" t="s">
        <v>7364</v>
      </c>
      <c r="I2694" s="14">
        <v>45306</v>
      </c>
    </row>
    <row r="2695" spans="1:9" x14ac:dyDescent="0.15">
      <c r="A2695" s="5">
        <v>2694</v>
      </c>
      <c r="B2695" s="6" t="s">
        <v>9</v>
      </c>
      <c r="C2695" s="7">
        <v>1882</v>
      </c>
      <c r="D2695" s="8">
        <v>45388</v>
      </c>
      <c r="E2695" s="9" t="str">
        <f>+HYPERLINK("http://trademark.i-assist.jp/data/china/image_1882th/76393597.pdf","76393597")</f>
        <v>76393597</v>
      </c>
      <c r="F2695" s="6" t="s">
        <v>7365</v>
      </c>
      <c r="G2695" s="6" t="s">
        <v>7293</v>
      </c>
      <c r="H2695" s="8" t="s">
        <v>7366</v>
      </c>
      <c r="I2695" s="14">
        <v>45306</v>
      </c>
    </row>
    <row r="2696" spans="1:9" x14ac:dyDescent="0.15">
      <c r="A2696" s="5">
        <v>2695</v>
      </c>
      <c r="B2696" s="6" t="s">
        <v>9</v>
      </c>
      <c r="C2696" s="7">
        <v>1882</v>
      </c>
      <c r="D2696" s="8">
        <v>45388</v>
      </c>
      <c r="E2696" s="9" t="str">
        <f>+HYPERLINK("http://trademark.i-assist.jp/data/china/image_1882th/76394326.pdf","76394326")</f>
        <v>76394326</v>
      </c>
      <c r="F2696" s="6" t="s">
        <v>26</v>
      </c>
      <c r="G2696" s="6" t="s">
        <v>7367</v>
      </c>
      <c r="H2696" s="8" t="s">
        <v>7368</v>
      </c>
      <c r="I2696" s="14">
        <v>45306</v>
      </c>
    </row>
    <row r="2697" spans="1:9" x14ac:dyDescent="0.15">
      <c r="A2697" s="5">
        <v>2696</v>
      </c>
      <c r="B2697" s="6" t="s">
        <v>9</v>
      </c>
      <c r="C2697" s="7">
        <v>1882</v>
      </c>
      <c r="D2697" s="8">
        <v>45388</v>
      </c>
      <c r="E2697" s="9" t="str">
        <f>+HYPERLINK("http://trademark.i-assist.jp/data/china/image_1882th/76394358.pdf","76394358")</f>
        <v>76394358</v>
      </c>
      <c r="F2697" s="6" t="s">
        <v>7369</v>
      </c>
      <c r="G2697" s="6" t="s">
        <v>7370</v>
      </c>
      <c r="H2697" s="8" t="s">
        <v>7371</v>
      </c>
      <c r="I2697" s="14">
        <v>45306</v>
      </c>
    </row>
    <row r="2698" spans="1:9" x14ac:dyDescent="0.15">
      <c r="A2698" s="5">
        <v>2697</v>
      </c>
      <c r="B2698" s="6" t="s">
        <v>9</v>
      </c>
      <c r="C2698" s="7">
        <v>1882</v>
      </c>
      <c r="D2698" s="8">
        <v>45388</v>
      </c>
      <c r="E2698" s="9" t="str">
        <f>+HYPERLINK("http://trademark.i-assist.jp/data/china/image_1882th/76394538.pdf","76394538")</f>
        <v>76394538</v>
      </c>
      <c r="F2698" s="6" t="s">
        <v>7372</v>
      </c>
      <c r="G2698" s="6" t="s">
        <v>7264</v>
      </c>
      <c r="H2698" s="8" t="s">
        <v>7373</v>
      </c>
      <c r="I2698" s="14">
        <v>45306</v>
      </c>
    </row>
    <row r="2699" spans="1:9" x14ac:dyDescent="0.15">
      <c r="A2699" s="5">
        <v>2698</v>
      </c>
      <c r="B2699" s="6" t="s">
        <v>9</v>
      </c>
      <c r="C2699" s="7">
        <v>1882</v>
      </c>
      <c r="D2699" s="8">
        <v>45388</v>
      </c>
      <c r="E2699" s="9" t="str">
        <f>+HYPERLINK("http://trademark.i-assist.jp/data/china/image_1882th/76395052.pdf","76395052")</f>
        <v>76395052</v>
      </c>
      <c r="F2699" s="6" t="s">
        <v>7374</v>
      </c>
      <c r="G2699" s="6" t="s">
        <v>7375</v>
      </c>
      <c r="H2699" s="8" t="s">
        <v>7376</v>
      </c>
      <c r="I2699" s="14">
        <v>45306</v>
      </c>
    </row>
    <row r="2700" spans="1:9" x14ac:dyDescent="0.15">
      <c r="A2700" s="5">
        <v>2699</v>
      </c>
      <c r="B2700" s="6" t="s">
        <v>9</v>
      </c>
      <c r="C2700" s="7">
        <v>1882</v>
      </c>
      <c r="D2700" s="8">
        <v>45388</v>
      </c>
      <c r="E2700" s="9" t="str">
        <f>+HYPERLINK("http://trademark.i-assist.jp/data/china/image_1882th/76395579.pdf","76395579")</f>
        <v>76395579</v>
      </c>
      <c r="F2700" s="6" t="s">
        <v>7377</v>
      </c>
      <c r="G2700" s="6" t="s">
        <v>7378</v>
      </c>
      <c r="H2700" s="8" t="s">
        <v>7379</v>
      </c>
      <c r="I2700" s="14">
        <v>45306</v>
      </c>
    </row>
    <row r="2701" spans="1:9" x14ac:dyDescent="0.15">
      <c r="A2701" s="5">
        <v>2700</v>
      </c>
      <c r="B2701" s="6" t="s">
        <v>9</v>
      </c>
      <c r="C2701" s="7">
        <v>1882</v>
      </c>
      <c r="D2701" s="8">
        <v>45388</v>
      </c>
      <c r="E2701" s="9" t="str">
        <f>+HYPERLINK("http://trademark.i-assist.jp/data/china/image_1882th/76395830.pdf","76395830")</f>
        <v>76395830</v>
      </c>
      <c r="F2701" s="6" t="s">
        <v>7380</v>
      </c>
      <c r="G2701" s="6" t="s">
        <v>7381</v>
      </c>
      <c r="H2701" s="8" t="s">
        <v>7382</v>
      </c>
      <c r="I2701" s="14">
        <v>45306</v>
      </c>
    </row>
    <row r="2702" spans="1:9" x14ac:dyDescent="0.15">
      <c r="A2702" s="5">
        <v>2701</v>
      </c>
      <c r="B2702" s="6" t="s">
        <v>9</v>
      </c>
      <c r="C2702" s="7">
        <v>1882</v>
      </c>
      <c r="D2702" s="8">
        <v>45388</v>
      </c>
      <c r="E2702" s="9" t="str">
        <f>+HYPERLINK("http://trademark.i-assist.jp/data/china/image_1882th/76395990.pdf","76395990")</f>
        <v>76395990</v>
      </c>
      <c r="F2702" s="6" t="s">
        <v>7383</v>
      </c>
      <c r="G2702" s="6" t="s">
        <v>7307</v>
      </c>
      <c r="H2702" s="8" t="s">
        <v>7384</v>
      </c>
      <c r="I2702" s="14">
        <v>45306</v>
      </c>
    </row>
    <row r="2703" spans="1:9" x14ac:dyDescent="0.15">
      <c r="A2703" s="5">
        <v>2702</v>
      </c>
      <c r="B2703" s="6" t="s">
        <v>9</v>
      </c>
      <c r="C2703" s="7">
        <v>1882</v>
      </c>
      <c r="D2703" s="8">
        <v>45388</v>
      </c>
      <c r="E2703" s="9" t="str">
        <f>+HYPERLINK("http://trademark.i-assist.jp/data/china/image_1882th/76396022.pdf","76396022")</f>
        <v>76396022</v>
      </c>
      <c r="F2703" s="6" t="s">
        <v>7385</v>
      </c>
      <c r="G2703" s="6" t="s">
        <v>7386</v>
      </c>
      <c r="H2703" s="8" t="s">
        <v>7387</v>
      </c>
      <c r="I2703" s="14">
        <v>45306</v>
      </c>
    </row>
    <row r="2704" spans="1:9" x14ac:dyDescent="0.15">
      <c r="A2704" s="5">
        <v>2703</v>
      </c>
      <c r="B2704" s="6" t="s">
        <v>9</v>
      </c>
      <c r="C2704" s="7">
        <v>1882</v>
      </c>
      <c r="D2704" s="8">
        <v>45388</v>
      </c>
      <c r="E2704" s="9" t="str">
        <f>+HYPERLINK("http://trademark.i-assist.jp/data/china/image_1882th/76396048.pdf","76396048")</f>
        <v>76396048</v>
      </c>
      <c r="F2704" s="6" t="s">
        <v>7388</v>
      </c>
      <c r="G2704" s="6" t="s">
        <v>7025</v>
      </c>
      <c r="H2704" s="8" t="s">
        <v>7389</v>
      </c>
      <c r="I2704" s="14">
        <v>45306</v>
      </c>
    </row>
    <row r="2705" spans="1:9" x14ac:dyDescent="0.15">
      <c r="A2705" s="5">
        <v>2704</v>
      </c>
      <c r="B2705" s="6" t="s">
        <v>9</v>
      </c>
      <c r="C2705" s="7">
        <v>1882</v>
      </c>
      <c r="D2705" s="8">
        <v>45388</v>
      </c>
      <c r="E2705" s="9" t="str">
        <f>+HYPERLINK("http://trademark.i-assist.jp/data/china/image_1882th/76396364.pdf","76396364")</f>
        <v>76396364</v>
      </c>
      <c r="F2705" s="6" t="s">
        <v>7390</v>
      </c>
      <c r="G2705" s="6" t="s">
        <v>7391</v>
      </c>
      <c r="H2705" s="8" t="s">
        <v>7392</v>
      </c>
      <c r="I2705" s="14">
        <v>45306</v>
      </c>
    </row>
    <row r="2706" spans="1:9" x14ac:dyDescent="0.15">
      <c r="A2706" s="5">
        <v>2705</v>
      </c>
      <c r="B2706" s="6" t="s">
        <v>9</v>
      </c>
      <c r="C2706" s="7">
        <v>1882</v>
      </c>
      <c r="D2706" s="8">
        <v>45388</v>
      </c>
      <c r="E2706" s="9" t="str">
        <f>+HYPERLINK("http://trademark.i-assist.jp/data/china/image_1882th/76396376.pdf","76396376")</f>
        <v>76396376</v>
      </c>
      <c r="F2706" s="6" t="s">
        <v>7393</v>
      </c>
      <c r="G2706" s="6" t="s">
        <v>7287</v>
      </c>
      <c r="H2706" s="8" t="s">
        <v>7394</v>
      </c>
      <c r="I2706" s="14">
        <v>45306</v>
      </c>
    </row>
    <row r="2707" spans="1:9" x14ac:dyDescent="0.15">
      <c r="A2707" s="5">
        <v>2706</v>
      </c>
      <c r="B2707" s="6" t="s">
        <v>9</v>
      </c>
      <c r="C2707" s="7">
        <v>1882</v>
      </c>
      <c r="D2707" s="8">
        <v>45388</v>
      </c>
      <c r="E2707" s="9" t="str">
        <f>+HYPERLINK("http://trademark.i-assist.jp/data/china/image_1882th/76396520.pdf","76396520")</f>
        <v>76396520</v>
      </c>
      <c r="F2707" s="6" t="s">
        <v>7395</v>
      </c>
      <c r="G2707" s="6" t="s">
        <v>7396</v>
      </c>
      <c r="H2707" s="8" t="s">
        <v>7397</v>
      </c>
      <c r="I2707" s="14">
        <v>45306</v>
      </c>
    </row>
    <row r="2708" spans="1:9" x14ac:dyDescent="0.15">
      <c r="A2708" s="5">
        <v>2707</v>
      </c>
      <c r="B2708" s="6" t="s">
        <v>9</v>
      </c>
      <c r="C2708" s="7">
        <v>1882</v>
      </c>
      <c r="D2708" s="8">
        <v>45388</v>
      </c>
      <c r="E2708" s="9" t="str">
        <f>+HYPERLINK("http://trademark.i-assist.jp/data/china/image_1882th/76396950.pdf","76396950")</f>
        <v>76396950</v>
      </c>
      <c r="F2708" s="6" t="s">
        <v>7398</v>
      </c>
      <c r="G2708" s="6" t="s">
        <v>7399</v>
      </c>
      <c r="H2708" s="8" t="s">
        <v>7400</v>
      </c>
      <c r="I2708" s="14">
        <v>45306</v>
      </c>
    </row>
    <row r="2709" spans="1:9" x14ac:dyDescent="0.15">
      <c r="A2709" s="5">
        <v>2708</v>
      </c>
      <c r="B2709" s="6" t="s">
        <v>9</v>
      </c>
      <c r="C2709" s="7">
        <v>1882</v>
      </c>
      <c r="D2709" s="8">
        <v>45388</v>
      </c>
      <c r="E2709" s="9" t="str">
        <f>+HYPERLINK("http://trademark.i-assist.jp/data/china/image_1882th/76397523.pdf","76397523")</f>
        <v>76397523</v>
      </c>
      <c r="F2709" s="6" t="s">
        <v>7401</v>
      </c>
      <c r="G2709" s="6" t="s">
        <v>7402</v>
      </c>
      <c r="H2709" s="8" t="s">
        <v>7403</v>
      </c>
      <c r="I2709" s="14">
        <v>45306</v>
      </c>
    </row>
    <row r="2710" spans="1:9" x14ac:dyDescent="0.15">
      <c r="A2710" s="5">
        <v>2709</v>
      </c>
      <c r="B2710" s="6" t="s">
        <v>9</v>
      </c>
      <c r="C2710" s="7">
        <v>1882</v>
      </c>
      <c r="D2710" s="8">
        <v>45388</v>
      </c>
      <c r="E2710" s="9" t="str">
        <f>+HYPERLINK("http://trademark.i-assist.jp/data/china/image_1882th/76397814.pdf","76397814")</f>
        <v>76397814</v>
      </c>
      <c r="F2710" s="6" t="s">
        <v>7404</v>
      </c>
      <c r="G2710" s="6" t="s">
        <v>7025</v>
      </c>
      <c r="H2710" s="8" t="s">
        <v>7405</v>
      </c>
      <c r="I2710" s="14">
        <v>45306</v>
      </c>
    </row>
    <row r="2711" spans="1:9" x14ac:dyDescent="0.15">
      <c r="A2711" s="5">
        <v>2710</v>
      </c>
      <c r="B2711" s="6" t="s">
        <v>9</v>
      </c>
      <c r="C2711" s="7">
        <v>1882</v>
      </c>
      <c r="D2711" s="8">
        <v>45388</v>
      </c>
      <c r="E2711" s="9" t="str">
        <f>+HYPERLINK("http://trademark.i-assist.jp/data/china/image_1882th/76398313.pdf","76398313")</f>
        <v>76398313</v>
      </c>
      <c r="F2711" s="6" t="s">
        <v>7406</v>
      </c>
      <c r="G2711" s="6" t="s">
        <v>7407</v>
      </c>
      <c r="H2711" s="8" t="s">
        <v>7408</v>
      </c>
      <c r="I2711" s="14">
        <v>45306</v>
      </c>
    </row>
    <row r="2712" spans="1:9" x14ac:dyDescent="0.15">
      <c r="A2712" s="5">
        <v>2711</v>
      </c>
      <c r="B2712" s="6" t="s">
        <v>9</v>
      </c>
      <c r="C2712" s="7">
        <v>1882</v>
      </c>
      <c r="D2712" s="8">
        <v>45388</v>
      </c>
      <c r="E2712" s="9" t="str">
        <f>+HYPERLINK("http://trademark.i-assist.jp/data/china/image_1882th/76398543.pdf","76398543")</f>
        <v>76398543</v>
      </c>
      <c r="F2712" s="6" t="s">
        <v>7409</v>
      </c>
      <c r="G2712" s="6" t="s">
        <v>7410</v>
      </c>
      <c r="H2712" s="8" t="s">
        <v>7411</v>
      </c>
      <c r="I2712" s="14">
        <v>45306</v>
      </c>
    </row>
    <row r="2713" spans="1:9" x14ac:dyDescent="0.15">
      <c r="A2713" s="5">
        <v>2712</v>
      </c>
      <c r="B2713" s="6" t="s">
        <v>9</v>
      </c>
      <c r="C2713" s="7">
        <v>1882</v>
      </c>
      <c r="D2713" s="8">
        <v>45388</v>
      </c>
      <c r="E2713" s="9" t="str">
        <f>+HYPERLINK("http://trademark.i-assist.jp/data/china/image_1882th/76398559.pdf","76398559")</f>
        <v>76398559</v>
      </c>
      <c r="F2713" s="6" t="s">
        <v>7412</v>
      </c>
      <c r="G2713" s="6" t="s">
        <v>7290</v>
      </c>
      <c r="H2713" s="8" t="s">
        <v>7413</v>
      </c>
      <c r="I2713" s="14">
        <v>45306</v>
      </c>
    </row>
    <row r="2714" spans="1:9" x14ac:dyDescent="0.15">
      <c r="A2714" s="5">
        <v>2713</v>
      </c>
      <c r="B2714" s="6" t="s">
        <v>9</v>
      </c>
      <c r="C2714" s="7">
        <v>1882</v>
      </c>
      <c r="D2714" s="8">
        <v>45388</v>
      </c>
      <c r="E2714" s="9" t="str">
        <f>+HYPERLINK("http://trademark.i-assist.jp/data/china/image_1882th/76399046.pdf","76399046")</f>
        <v>76399046</v>
      </c>
      <c r="F2714" s="6" t="s">
        <v>7414</v>
      </c>
      <c r="G2714" s="6" t="s">
        <v>7415</v>
      </c>
      <c r="H2714" s="8" t="s">
        <v>7416</v>
      </c>
      <c r="I2714" s="14">
        <v>45306</v>
      </c>
    </row>
    <row r="2715" spans="1:9" x14ac:dyDescent="0.15">
      <c r="A2715" s="5">
        <v>2714</v>
      </c>
      <c r="B2715" s="6" t="s">
        <v>9</v>
      </c>
      <c r="C2715" s="7">
        <v>1882</v>
      </c>
      <c r="D2715" s="8">
        <v>45388</v>
      </c>
      <c r="E2715" s="9" t="str">
        <f>+HYPERLINK("http://trademark.i-assist.jp/data/china/image_1882th/76399866.pdf","76399866")</f>
        <v>76399866</v>
      </c>
      <c r="F2715" s="6" t="s">
        <v>26</v>
      </c>
      <c r="G2715" s="6" t="s">
        <v>7417</v>
      </c>
      <c r="H2715" s="8" t="s">
        <v>7418</v>
      </c>
      <c r="I2715" s="14">
        <v>45306</v>
      </c>
    </row>
    <row r="2716" spans="1:9" x14ac:dyDescent="0.15">
      <c r="A2716" s="5">
        <v>2715</v>
      </c>
      <c r="B2716" s="6" t="s">
        <v>9</v>
      </c>
      <c r="C2716" s="7">
        <v>1882</v>
      </c>
      <c r="D2716" s="8">
        <v>45388</v>
      </c>
      <c r="E2716" s="9" t="str">
        <f>+HYPERLINK("http://trademark.i-assist.jp/data/china/image_1882th/76399969.pdf","76399969")</f>
        <v>76399969</v>
      </c>
      <c r="F2716" s="6" t="s">
        <v>7419</v>
      </c>
      <c r="G2716" s="6" t="s">
        <v>7420</v>
      </c>
      <c r="H2716" s="8" t="s">
        <v>7421</v>
      </c>
      <c r="I2716" s="14">
        <v>45306</v>
      </c>
    </row>
    <row r="2717" spans="1:9" x14ac:dyDescent="0.15">
      <c r="A2717" s="5">
        <v>2716</v>
      </c>
      <c r="B2717" s="6" t="s">
        <v>9</v>
      </c>
      <c r="C2717" s="7">
        <v>1882</v>
      </c>
      <c r="D2717" s="8">
        <v>45388</v>
      </c>
      <c r="E2717" s="9" t="str">
        <f>+HYPERLINK("http://trademark.i-assist.jp/data/china/image_1882th/76400069.pdf","76400069")</f>
        <v>76400069</v>
      </c>
      <c r="F2717" s="6" t="s">
        <v>7422</v>
      </c>
      <c r="G2717" s="6" t="s">
        <v>7423</v>
      </c>
      <c r="H2717" s="8" t="s">
        <v>7424</v>
      </c>
      <c r="I2717" s="14">
        <v>45306</v>
      </c>
    </row>
    <row r="2718" spans="1:9" x14ac:dyDescent="0.15">
      <c r="A2718" s="5">
        <v>2717</v>
      </c>
      <c r="B2718" s="6" t="s">
        <v>9</v>
      </c>
      <c r="C2718" s="7">
        <v>1882</v>
      </c>
      <c r="D2718" s="8">
        <v>45388</v>
      </c>
      <c r="E2718" s="9" t="str">
        <f>+HYPERLINK("http://trademark.i-assist.jp/data/china/image_1882th/76400234.pdf","76400234")</f>
        <v>76400234</v>
      </c>
      <c r="F2718" s="6" t="s">
        <v>7425</v>
      </c>
      <c r="G2718" s="6" t="s">
        <v>7425</v>
      </c>
      <c r="H2718" s="8" t="s">
        <v>7426</v>
      </c>
      <c r="I2718" s="14">
        <v>45306</v>
      </c>
    </row>
    <row r="2719" spans="1:9" x14ac:dyDescent="0.15">
      <c r="A2719" s="5">
        <v>2718</v>
      </c>
      <c r="B2719" s="6" t="s">
        <v>9</v>
      </c>
      <c r="C2719" s="7">
        <v>1882</v>
      </c>
      <c r="D2719" s="8">
        <v>45388</v>
      </c>
      <c r="E2719" s="9" t="str">
        <f>+HYPERLINK("http://trademark.i-assist.jp/data/china/image_1882th/76400308.pdf","76400308")</f>
        <v>76400308</v>
      </c>
      <c r="F2719" s="6" t="s">
        <v>7427</v>
      </c>
      <c r="G2719" s="6" t="s">
        <v>7219</v>
      </c>
      <c r="H2719" s="8" t="s">
        <v>7428</v>
      </c>
      <c r="I2719" s="14">
        <v>45305</v>
      </c>
    </row>
    <row r="2720" spans="1:9" x14ac:dyDescent="0.15">
      <c r="A2720" s="5">
        <v>2719</v>
      </c>
      <c r="B2720" s="6" t="s">
        <v>9</v>
      </c>
      <c r="C2720" s="7">
        <v>1882</v>
      </c>
      <c r="D2720" s="8">
        <v>45388</v>
      </c>
      <c r="E2720" s="9" t="str">
        <f>+HYPERLINK("http://trademark.i-assist.jp/data/china/image_1882th/76401146.pdf","76401146")</f>
        <v>76401146</v>
      </c>
      <c r="F2720" s="6" t="s">
        <v>7429</v>
      </c>
      <c r="G2720" s="6" t="s">
        <v>7101</v>
      </c>
      <c r="H2720" s="8" t="s">
        <v>7430</v>
      </c>
      <c r="I2720" s="14">
        <v>45304</v>
      </c>
    </row>
    <row r="2721" spans="1:9" x14ac:dyDescent="0.15">
      <c r="A2721" s="5">
        <v>2720</v>
      </c>
      <c r="B2721" s="6" t="s">
        <v>9</v>
      </c>
      <c r="C2721" s="7">
        <v>1882</v>
      </c>
      <c r="D2721" s="8">
        <v>45388</v>
      </c>
      <c r="E2721" s="9" t="str">
        <f>+HYPERLINK("http://trademark.i-assist.jp/data/china/image_1882th/76401270.pdf","76401270")</f>
        <v>76401270</v>
      </c>
      <c r="F2721" s="6" t="s">
        <v>7431</v>
      </c>
      <c r="G2721" s="6" t="s">
        <v>7432</v>
      </c>
      <c r="H2721" s="8" t="s">
        <v>7433</v>
      </c>
      <c r="I2721" s="14">
        <v>45304</v>
      </c>
    </row>
    <row r="2722" spans="1:9" x14ac:dyDescent="0.15">
      <c r="A2722" s="5">
        <v>2721</v>
      </c>
      <c r="B2722" s="6" t="s">
        <v>9</v>
      </c>
      <c r="C2722" s="7">
        <v>1882</v>
      </c>
      <c r="D2722" s="8">
        <v>45388</v>
      </c>
      <c r="E2722" s="9" t="str">
        <f>+HYPERLINK("http://trademark.i-assist.jp/data/china/image_1882th/76401698.pdf","76401698")</f>
        <v>76401698</v>
      </c>
      <c r="F2722" s="6" t="s">
        <v>7434</v>
      </c>
      <c r="G2722" s="6" t="s">
        <v>7435</v>
      </c>
      <c r="H2722" s="8" t="s">
        <v>7436</v>
      </c>
      <c r="I2722" s="14">
        <v>45306</v>
      </c>
    </row>
    <row r="2723" spans="1:9" x14ac:dyDescent="0.15">
      <c r="A2723" s="5">
        <v>2722</v>
      </c>
      <c r="B2723" s="6" t="s">
        <v>9</v>
      </c>
      <c r="C2723" s="7">
        <v>1882</v>
      </c>
      <c r="D2723" s="8">
        <v>45388</v>
      </c>
      <c r="E2723" s="9" t="str">
        <f>+HYPERLINK("http://trademark.i-assist.jp/data/china/image_1882th/76401742.pdf","76401742")</f>
        <v>76401742</v>
      </c>
      <c r="F2723" s="6" t="s">
        <v>7437</v>
      </c>
      <c r="G2723" s="6" t="s">
        <v>7438</v>
      </c>
      <c r="H2723" s="8" t="s">
        <v>7439</v>
      </c>
      <c r="I2723" s="14">
        <v>45306</v>
      </c>
    </row>
    <row r="2724" spans="1:9" x14ac:dyDescent="0.15">
      <c r="A2724" s="5">
        <v>2723</v>
      </c>
      <c r="B2724" s="6" t="s">
        <v>9</v>
      </c>
      <c r="C2724" s="7">
        <v>1882</v>
      </c>
      <c r="D2724" s="8">
        <v>45388</v>
      </c>
      <c r="E2724" s="9" t="str">
        <f>+HYPERLINK("http://trademark.i-assist.jp/data/china/image_1882th/76401996.pdf","76401996")</f>
        <v>76401996</v>
      </c>
      <c r="F2724" s="6" t="s">
        <v>7440</v>
      </c>
      <c r="G2724" s="6" t="s">
        <v>7307</v>
      </c>
      <c r="H2724" s="8" t="s">
        <v>7441</v>
      </c>
      <c r="I2724" s="14">
        <v>45306</v>
      </c>
    </row>
    <row r="2725" spans="1:9" x14ac:dyDescent="0.15">
      <c r="A2725" s="5">
        <v>2724</v>
      </c>
      <c r="B2725" s="6" t="s">
        <v>9</v>
      </c>
      <c r="C2725" s="7">
        <v>1882</v>
      </c>
      <c r="D2725" s="8">
        <v>45388</v>
      </c>
      <c r="E2725" s="9" t="str">
        <f>+HYPERLINK("http://trademark.i-assist.jp/data/china/image_1882th/76402233.pdf","76402233")</f>
        <v>76402233</v>
      </c>
      <c r="F2725" s="6" t="s">
        <v>7442</v>
      </c>
      <c r="G2725" s="6" t="s">
        <v>7443</v>
      </c>
      <c r="H2725" s="8" t="s">
        <v>7444</v>
      </c>
      <c r="I2725" s="14">
        <v>45305</v>
      </c>
    </row>
    <row r="2726" spans="1:9" x14ac:dyDescent="0.15">
      <c r="A2726" s="5">
        <v>2725</v>
      </c>
      <c r="B2726" s="6" t="s">
        <v>9</v>
      </c>
      <c r="C2726" s="7">
        <v>1882</v>
      </c>
      <c r="D2726" s="8">
        <v>45388</v>
      </c>
      <c r="E2726" s="9" t="str">
        <f>+HYPERLINK("http://trademark.i-assist.jp/data/china/image_1882th/76402414.pdf","76402414")</f>
        <v>76402414</v>
      </c>
      <c r="F2726" s="6" t="s">
        <v>7445</v>
      </c>
      <c r="G2726" s="6" t="s">
        <v>7275</v>
      </c>
      <c r="H2726" s="8" t="s">
        <v>7446</v>
      </c>
      <c r="I2726" s="14">
        <v>45306</v>
      </c>
    </row>
    <row r="2727" spans="1:9" x14ac:dyDescent="0.15">
      <c r="A2727" s="5">
        <v>2726</v>
      </c>
      <c r="B2727" s="6" t="s">
        <v>9</v>
      </c>
      <c r="C2727" s="7">
        <v>1882</v>
      </c>
      <c r="D2727" s="8">
        <v>45388</v>
      </c>
      <c r="E2727" s="9" t="str">
        <f>+HYPERLINK("http://trademark.i-assist.jp/data/china/image_1882th/76402793.pdf","76402793")</f>
        <v>76402793</v>
      </c>
      <c r="F2727" s="6" t="s">
        <v>7447</v>
      </c>
      <c r="G2727" s="6" t="s">
        <v>7448</v>
      </c>
      <c r="H2727" s="8" t="s">
        <v>7449</v>
      </c>
      <c r="I2727" s="14">
        <v>45304</v>
      </c>
    </row>
    <row r="2728" spans="1:9" x14ac:dyDescent="0.15">
      <c r="A2728" s="5">
        <v>2727</v>
      </c>
      <c r="B2728" s="6" t="s">
        <v>9</v>
      </c>
      <c r="C2728" s="7">
        <v>1882</v>
      </c>
      <c r="D2728" s="8">
        <v>45388</v>
      </c>
      <c r="E2728" s="9" t="str">
        <f>+HYPERLINK("http://trademark.i-assist.jp/data/china/image_1882th/76402804.pdf","76402804")</f>
        <v>76402804</v>
      </c>
      <c r="F2728" s="6" t="s">
        <v>7450</v>
      </c>
      <c r="G2728" s="6" t="s">
        <v>7451</v>
      </c>
      <c r="H2728" s="8" t="s">
        <v>7452</v>
      </c>
      <c r="I2728" s="14">
        <v>45304</v>
      </c>
    </row>
    <row r="2729" spans="1:9" x14ac:dyDescent="0.15">
      <c r="A2729" s="5">
        <v>2728</v>
      </c>
      <c r="B2729" s="6" t="s">
        <v>9</v>
      </c>
      <c r="C2729" s="7">
        <v>1882</v>
      </c>
      <c r="D2729" s="8">
        <v>45388</v>
      </c>
      <c r="E2729" s="9" t="str">
        <f>+HYPERLINK("http://trademark.i-assist.jp/data/china/image_1882th/76403299.pdf","76403299")</f>
        <v>76403299</v>
      </c>
      <c r="F2729" s="6" t="s">
        <v>7453</v>
      </c>
      <c r="G2729" s="6" t="s">
        <v>7454</v>
      </c>
      <c r="H2729" s="8" t="s">
        <v>7455</v>
      </c>
      <c r="I2729" s="14">
        <v>45306</v>
      </c>
    </row>
    <row r="2730" spans="1:9" x14ac:dyDescent="0.15">
      <c r="A2730" s="5">
        <v>2729</v>
      </c>
      <c r="B2730" s="6" t="s">
        <v>9</v>
      </c>
      <c r="C2730" s="7">
        <v>1882</v>
      </c>
      <c r="D2730" s="8">
        <v>45388</v>
      </c>
      <c r="E2730" s="9" t="str">
        <f>+HYPERLINK("http://trademark.i-assist.jp/data/china/image_1882th/76403470.pdf","76403470")</f>
        <v>76403470</v>
      </c>
      <c r="F2730" s="6" t="s">
        <v>7456</v>
      </c>
      <c r="G2730" s="6" t="s">
        <v>7457</v>
      </c>
      <c r="H2730" s="8" t="s">
        <v>7458</v>
      </c>
      <c r="I2730" s="14">
        <v>45306</v>
      </c>
    </row>
    <row r="2731" spans="1:9" x14ac:dyDescent="0.15">
      <c r="A2731" s="5">
        <v>2730</v>
      </c>
      <c r="B2731" s="6" t="s">
        <v>9</v>
      </c>
      <c r="C2731" s="7">
        <v>1882</v>
      </c>
      <c r="D2731" s="8">
        <v>45388</v>
      </c>
      <c r="E2731" s="9" t="str">
        <f>+HYPERLINK("http://trademark.i-assist.jp/data/china/image_1882th/76403885.pdf","76403885")</f>
        <v>76403885</v>
      </c>
      <c r="F2731" s="6" t="s">
        <v>7459</v>
      </c>
      <c r="G2731" s="6" t="s">
        <v>7460</v>
      </c>
      <c r="H2731" s="8" t="s">
        <v>7461</v>
      </c>
      <c r="I2731" s="14">
        <v>45306</v>
      </c>
    </row>
    <row r="2732" spans="1:9" x14ac:dyDescent="0.15">
      <c r="A2732" s="5">
        <v>2731</v>
      </c>
      <c r="B2732" s="6" t="s">
        <v>9</v>
      </c>
      <c r="C2732" s="7">
        <v>1882</v>
      </c>
      <c r="D2732" s="8">
        <v>45388</v>
      </c>
      <c r="E2732" s="9" t="str">
        <f>+HYPERLINK("http://trademark.i-assist.jp/data/china/image_1882th/76403971.pdf","76403971")</f>
        <v>76403971</v>
      </c>
      <c r="F2732" s="6" t="s">
        <v>7462</v>
      </c>
      <c r="G2732" s="6" t="s">
        <v>7463</v>
      </c>
      <c r="H2732" s="8" t="s">
        <v>7464</v>
      </c>
      <c r="I2732" s="14">
        <v>45306</v>
      </c>
    </row>
    <row r="2733" spans="1:9" x14ac:dyDescent="0.15">
      <c r="A2733" s="5">
        <v>2732</v>
      </c>
      <c r="B2733" s="6" t="s">
        <v>9</v>
      </c>
      <c r="C2733" s="7">
        <v>1882</v>
      </c>
      <c r="D2733" s="8">
        <v>45388</v>
      </c>
      <c r="E2733" s="9" t="str">
        <f>+HYPERLINK("http://trademark.i-assist.jp/data/china/image_1882th/76404173.pdf","76404173")</f>
        <v>76404173</v>
      </c>
      <c r="F2733" s="6" t="s">
        <v>7465</v>
      </c>
      <c r="G2733" s="6" t="s">
        <v>7466</v>
      </c>
      <c r="H2733" s="8" t="s">
        <v>7467</v>
      </c>
      <c r="I2733" s="14">
        <v>45306</v>
      </c>
    </row>
    <row r="2734" spans="1:9" x14ac:dyDescent="0.15">
      <c r="A2734" s="5">
        <v>2733</v>
      </c>
      <c r="B2734" s="6" t="s">
        <v>9</v>
      </c>
      <c r="C2734" s="7">
        <v>1882</v>
      </c>
      <c r="D2734" s="8">
        <v>45388</v>
      </c>
      <c r="E2734" s="9" t="str">
        <f>+HYPERLINK("http://trademark.i-assist.jp/data/china/image_1882th/76404186.pdf","76404186")</f>
        <v>76404186</v>
      </c>
      <c r="F2734" s="6" t="s">
        <v>7468</v>
      </c>
      <c r="G2734" s="6" t="s">
        <v>7322</v>
      </c>
      <c r="H2734" s="8" t="s">
        <v>7469</v>
      </c>
      <c r="I2734" s="14">
        <v>45306</v>
      </c>
    </row>
    <row r="2735" spans="1:9" x14ac:dyDescent="0.15">
      <c r="A2735" s="5">
        <v>2734</v>
      </c>
      <c r="B2735" s="6" t="s">
        <v>9</v>
      </c>
      <c r="C2735" s="7">
        <v>1882</v>
      </c>
      <c r="D2735" s="8">
        <v>45388</v>
      </c>
      <c r="E2735" s="9" t="str">
        <f>+HYPERLINK("http://trademark.i-assist.jp/data/china/image_1882th/76404234.pdf","76404234")</f>
        <v>76404234</v>
      </c>
      <c r="F2735" s="6" t="s">
        <v>7470</v>
      </c>
      <c r="G2735" s="6" t="s">
        <v>7466</v>
      </c>
      <c r="H2735" s="8" t="s">
        <v>7471</v>
      </c>
      <c r="I2735" s="14">
        <v>45306</v>
      </c>
    </row>
    <row r="2736" spans="1:9" x14ac:dyDescent="0.15">
      <c r="A2736" s="5">
        <v>2735</v>
      </c>
      <c r="B2736" s="6" t="s">
        <v>9</v>
      </c>
      <c r="C2736" s="7">
        <v>1882</v>
      </c>
      <c r="D2736" s="8">
        <v>45388</v>
      </c>
      <c r="E2736" s="9" t="str">
        <f>+HYPERLINK("http://trademark.i-assist.jp/data/china/image_1882th/76404326.pdf","76404326")</f>
        <v>76404326</v>
      </c>
      <c r="F2736" s="6" t="s">
        <v>7404</v>
      </c>
      <c r="G2736" s="6" t="s">
        <v>7025</v>
      </c>
      <c r="H2736" s="8" t="s">
        <v>7472</v>
      </c>
      <c r="I2736" s="14">
        <v>45306</v>
      </c>
    </row>
    <row r="2737" spans="1:9" x14ac:dyDescent="0.15">
      <c r="A2737" s="5">
        <v>2736</v>
      </c>
      <c r="B2737" s="6" t="s">
        <v>9</v>
      </c>
      <c r="C2737" s="7">
        <v>1882</v>
      </c>
      <c r="D2737" s="8">
        <v>45388</v>
      </c>
      <c r="E2737" s="9" t="str">
        <f>+HYPERLINK("http://trademark.i-assist.jp/data/china/image_1882th/76406356.pdf","76406356")</f>
        <v>76406356</v>
      </c>
      <c r="F2737" s="6" t="s">
        <v>7473</v>
      </c>
      <c r="G2737" s="6" t="s">
        <v>7474</v>
      </c>
      <c r="H2737" s="8" t="s">
        <v>7475</v>
      </c>
      <c r="I2737" s="14">
        <v>45307</v>
      </c>
    </row>
    <row r="2738" spans="1:9" x14ac:dyDescent="0.15">
      <c r="A2738" s="5">
        <v>2737</v>
      </c>
      <c r="B2738" s="6" t="s">
        <v>9</v>
      </c>
      <c r="C2738" s="7">
        <v>1882</v>
      </c>
      <c r="D2738" s="8">
        <v>45388</v>
      </c>
      <c r="E2738" s="9" t="str">
        <f>+HYPERLINK("http://trademark.i-assist.jp/data/china/image_1882th/76407151.pdf","76407151")</f>
        <v>76407151</v>
      </c>
      <c r="F2738" s="6" t="s">
        <v>7476</v>
      </c>
      <c r="G2738" s="6" t="s">
        <v>7477</v>
      </c>
      <c r="H2738" s="8" t="s">
        <v>7478</v>
      </c>
      <c r="I2738" s="14">
        <v>45307</v>
      </c>
    </row>
    <row r="2739" spans="1:9" x14ac:dyDescent="0.15">
      <c r="A2739" s="5">
        <v>2738</v>
      </c>
      <c r="B2739" s="6" t="s">
        <v>9</v>
      </c>
      <c r="C2739" s="7">
        <v>1882</v>
      </c>
      <c r="D2739" s="8">
        <v>45388</v>
      </c>
      <c r="E2739" s="9" t="str">
        <f>+HYPERLINK("http://trademark.i-assist.jp/data/china/image_1882th/76407325.pdf","76407325")</f>
        <v>76407325</v>
      </c>
      <c r="F2739" s="6" t="s">
        <v>7479</v>
      </c>
      <c r="G2739" s="6" t="s">
        <v>7480</v>
      </c>
      <c r="H2739" s="8" t="s">
        <v>7481</v>
      </c>
      <c r="I2739" s="14">
        <v>45307</v>
      </c>
    </row>
    <row r="2740" spans="1:9" x14ac:dyDescent="0.15">
      <c r="A2740" s="5">
        <v>2739</v>
      </c>
      <c r="B2740" s="6" t="s">
        <v>9</v>
      </c>
      <c r="C2740" s="7">
        <v>1882</v>
      </c>
      <c r="D2740" s="8">
        <v>45388</v>
      </c>
      <c r="E2740" s="9" t="str">
        <f>+HYPERLINK("http://trademark.i-assist.jp/data/china/image_1882th/76407524.pdf","76407524")</f>
        <v>76407524</v>
      </c>
      <c r="F2740" s="6" t="s">
        <v>7482</v>
      </c>
      <c r="G2740" s="6" t="s">
        <v>7483</v>
      </c>
      <c r="H2740" s="8" t="s">
        <v>7484</v>
      </c>
      <c r="I2740" s="14">
        <v>45307</v>
      </c>
    </row>
    <row r="2741" spans="1:9" x14ac:dyDescent="0.15">
      <c r="A2741" s="5">
        <v>2740</v>
      </c>
      <c r="B2741" s="6" t="s">
        <v>9</v>
      </c>
      <c r="C2741" s="7">
        <v>1882</v>
      </c>
      <c r="D2741" s="8">
        <v>45388</v>
      </c>
      <c r="E2741" s="9" t="str">
        <f>+HYPERLINK("http://trademark.i-assist.jp/data/china/image_1882th/76407594.pdf","76407594")</f>
        <v>76407594</v>
      </c>
      <c r="F2741" s="6" t="s">
        <v>7485</v>
      </c>
      <c r="G2741" s="6" t="s">
        <v>7486</v>
      </c>
      <c r="H2741" s="8" t="s">
        <v>7487</v>
      </c>
      <c r="I2741" s="14">
        <v>45307</v>
      </c>
    </row>
    <row r="2742" spans="1:9" x14ac:dyDescent="0.15">
      <c r="A2742" s="5">
        <v>2741</v>
      </c>
      <c r="B2742" s="6" t="s">
        <v>9</v>
      </c>
      <c r="C2742" s="7">
        <v>1882</v>
      </c>
      <c r="D2742" s="8">
        <v>45388</v>
      </c>
      <c r="E2742" s="9" t="str">
        <f>+HYPERLINK("http://trademark.i-assist.jp/data/china/image_1882th/76408036.pdf","76408036")</f>
        <v>76408036</v>
      </c>
      <c r="F2742" s="6" t="s">
        <v>7488</v>
      </c>
      <c r="G2742" s="6" t="s">
        <v>7489</v>
      </c>
      <c r="H2742" s="8" t="s">
        <v>7490</v>
      </c>
      <c r="I2742" s="14">
        <v>45307</v>
      </c>
    </row>
    <row r="2743" spans="1:9" x14ac:dyDescent="0.15">
      <c r="A2743" s="5">
        <v>2742</v>
      </c>
      <c r="B2743" s="6" t="s">
        <v>9</v>
      </c>
      <c r="C2743" s="7">
        <v>1882</v>
      </c>
      <c r="D2743" s="8">
        <v>45388</v>
      </c>
      <c r="E2743" s="9" t="str">
        <f>+HYPERLINK("http://trademark.i-assist.jp/data/china/image_1882th/76408088.pdf","76408088")</f>
        <v>76408088</v>
      </c>
      <c r="F2743" s="6" t="s">
        <v>7491</v>
      </c>
      <c r="G2743" s="6" t="s">
        <v>7492</v>
      </c>
      <c r="H2743" s="8" t="s">
        <v>7493</v>
      </c>
      <c r="I2743" s="14">
        <v>45307</v>
      </c>
    </row>
    <row r="2744" spans="1:9" x14ac:dyDescent="0.15">
      <c r="A2744" s="5">
        <v>2743</v>
      </c>
      <c r="B2744" s="6" t="s">
        <v>9</v>
      </c>
      <c r="C2744" s="7">
        <v>1882</v>
      </c>
      <c r="D2744" s="8">
        <v>45388</v>
      </c>
      <c r="E2744" s="9" t="str">
        <f>+HYPERLINK("http://trademark.i-assist.jp/data/china/image_1882th/76408149.pdf","76408149")</f>
        <v>76408149</v>
      </c>
      <c r="F2744" s="6" t="s">
        <v>7494</v>
      </c>
      <c r="G2744" s="6" t="s">
        <v>7495</v>
      </c>
      <c r="H2744" s="8" t="s">
        <v>7496</v>
      </c>
      <c r="I2744" s="14">
        <v>45307</v>
      </c>
    </row>
    <row r="2745" spans="1:9" x14ac:dyDescent="0.15">
      <c r="A2745" s="5">
        <v>2744</v>
      </c>
      <c r="B2745" s="6" t="s">
        <v>9</v>
      </c>
      <c r="C2745" s="7">
        <v>1882</v>
      </c>
      <c r="D2745" s="8">
        <v>45388</v>
      </c>
      <c r="E2745" s="9" t="str">
        <f>+HYPERLINK("http://trademark.i-assist.jp/data/china/image_1882th/76408314.pdf","76408314")</f>
        <v>76408314</v>
      </c>
      <c r="F2745" s="6" t="s">
        <v>7497</v>
      </c>
      <c r="G2745" s="6" t="s">
        <v>7498</v>
      </c>
      <c r="H2745" s="8" t="s">
        <v>7499</v>
      </c>
      <c r="I2745" s="14">
        <v>45307</v>
      </c>
    </row>
    <row r="2746" spans="1:9" x14ac:dyDescent="0.15">
      <c r="A2746" s="5">
        <v>2745</v>
      </c>
      <c r="B2746" s="6" t="s">
        <v>9</v>
      </c>
      <c r="C2746" s="7">
        <v>1882</v>
      </c>
      <c r="D2746" s="8">
        <v>45388</v>
      </c>
      <c r="E2746" s="9" t="str">
        <f>+HYPERLINK("http://trademark.i-assist.jp/data/china/image_1882th/76408800.pdf","76408800")</f>
        <v>76408800</v>
      </c>
      <c r="F2746" s="6" t="s">
        <v>7500</v>
      </c>
      <c r="G2746" s="6" t="s">
        <v>7501</v>
      </c>
      <c r="H2746" s="8" t="s">
        <v>7502</v>
      </c>
      <c r="I2746" s="14">
        <v>45307</v>
      </c>
    </row>
    <row r="2747" spans="1:9" x14ac:dyDescent="0.15">
      <c r="A2747" s="5">
        <v>2746</v>
      </c>
      <c r="B2747" s="6" t="s">
        <v>9</v>
      </c>
      <c r="C2747" s="7">
        <v>1882</v>
      </c>
      <c r="D2747" s="8">
        <v>45388</v>
      </c>
      <c r="E2747" s="9" t="str">
        <f>+HYPERLINK("http://trademark.i-assist.jp/data/china/image_1882th/76408856.pdf","76408856")</f>
        <v>76408856</v>
      </c>
      <c r="F2747" s="6" t="s">
        <v>7503</v>
      </c>
      <c r="G2747" s="6" t="s">
        <v>7504</v>
      </c>
      <c r="H2747" s="8" t="s">
        <v>7505</v>
      </c>
      <c r="I2747" s="14">
        <v>45307</v>
      </c>
    </row>
    <row r="2748" spans="1:9" x14ac:dyDescent="0.15">
      <c r="A2748" s="5">
        <v>2747</v>
      </c>
      <c r="B2748" s="6" t="s">
        <v>9</v>
      </c>
      <c r="C2748" s="7">
        <v>1882</v>
      </c>
      <c r="D2748" s="8">
        <v>45388</v>
      </c>
      <c r="E2748" s="9" t="str">
        <f>+HYPERLINK("http://trademark.i-assist.jp/data/china/image_1882th/76409245.pdf","76409245")</f>
        <v>76409245</v>
      </c>
      <c r="F2748" s="6" t="s">
        <v>7506</v>
      </c>
      <c r="G2748" s="6" t="s">
        <v>7507</v>
      </c>
      <c r="H2748" s="8" t="s">
        <v>7508</v>
      </c>
      <c r="I2748" s="14">
        <v>45307</v>
      </c>
    </row>
    <row r="2749" spans="1:9" x14ac:dyDescent="0.15">
      <c r="A2749" s="5">
        <v>2748</v>
      </c>
      <c r="B2749" s="6" t="s">
        <v>9</v>
      </c>
      <c r="C2749" s="7">
        <v>1882</v>
      </c>
      <c r="D2749" s="8">
        <v>45388</v>
      </c>
      <c r="E2749" s="9" t="str">
        <f>+HYPERLINK("http://trademark.i-assist.jp/data/china/image_1882th/76409412.pdf","76409412")</f>
        <v>76409412</v>
      </c>
      <c r="F2749" s="6" t="s">
        <v>7509</v>
      </c>
      <c r="G2749" s="6" t="s">
        <v>7510</v>
      </c>
      <c r="H2749" s="8" t="s">
        <v>7511</v>
      </c>
      <c r="I2749" s="14">
        <v>45307</v>
      </c>
    </row>
    <row r="2750" spans="1:9" x14ac:dyDescent="0.15">
      <c r="A2750" s="5">
        <v>2749</v>
      </c>
      <c r="B2750" s="6" t="s">
        <v>9</v>
      </c>
      <c r="C2750" s="7">
        <v>1882</v>
      </c>
      <c r="D2750" s="8">
        <v>45388</v>
      </c>
      <c r="E2750" s="9" t="str">
        <f>+HYPERLINK("http://trademark.i-assist.jp/data/china/image_1882th/76409461.pdf","76409461")</f>
        <v>76409461</v>
      </c>
      <c r="F2750" s="6" t="s">
        <v>7512</v>
      </c>
      <c r="G2750" s="6" t="s">
        <v>7507</v>
      </c>
      <c r="H2750" s="8" t="s">
        <v>7513</v>
      </c>
      <c r="I2750" s="14">
        <v>45307</v>
      </c>
    </row>
    <row r="2751" spans="1:9" x14ac:dyDescent="0.15">
      <c r="A2751" s="5">
        <v>2750</v>
      </c>
      <c r="B2751" s="6" t="s">
        <v>9</v>
      </c>
      <c r="C2751" s="7">
        <v>1882</v>
      </c>
      <c r="D2751" s="8">
        <v>45388</v>
      </c>
      <c r="E2751" s="9" t="str">
        <f>+HYPERLINK("http://trademark.i-assist.jp/data/china/image_1882th/76409463.pdf","76409463")</f>
        <v>76409463</v>
      </c>
      <c r="F2751" s="6" t="s">
        <v>7514</v>
      </c>
      <c r="G2751" s="6" t="s">
        <v>7507</v>
      </c>
      <c r="H2751" s="8" t="s">
        <v>7515</v>
      </c>
      <c r="I2751" s="14">
        <v>45307</v>
      </c>
    </row>
    <row r="2752" spans="1:9" x14ac:dyDescent="0.15">
      <c r="A2752" s="5">
        <v>2751</v>
      </c>
      <c r="B2752" s="6" t="s">
        <v>9</v>
      </c>
      <c r="C2752" s="7">
        <v>1882</v>
      </c>
      <c r="D2752" s="8">
        <v>45388</v>
      </c>
      <c r="E2752" s="9" t="str">
        <f>+HYPERLINK("http://trademark.i-assist.jp/data/china/image_1882th/76409505.pdf","76409505")</f>
        <v>76409505</v>
      </c>
      <c r="F2752" s="6" t="s">
        <v>7516</v>
      </c>
      <c r="G2752" s="6" t="s">
        <v>7517</v>
      </c>
      <c r="H2752" s="8" t="s">
        <v>7518</v>
      </c>
      <c r="I2752" s="14">
        <v>45307</v>
      </c>
    </row>
    <row r="2753" spans="1:9" x14ac:dyDescent="0.15">
      <c r="A2753" s="5">
        <v>2752</v>
      </c>
      <c r="B2753" s="6" t="s">
        <v>9</v>
      </c>
      <c r="C2753" s="7">
        <v>1882</v>
      </c>
      <c r="D2753" s="8">
        <v>45388</v>
      </c>
      <c r="E2753" s="9" t="str">
        <f>+HYPERLINK("http://trademark.i-assist.jp/data/china/image_1882th/76409558.pdf","76409558")</f>
        <v>76409558</v>
      </c>
      <c r="F2753" s="6" t="s">
        <v>7519</v>
      </c>
      <c r="G2753" s="6" t="s">
        <v>7520</v>
      </c>
      <c r="H2753" s="8" t="s">
        <v>7521</v>
      </c>
      <c r="I2753" s="14">
        <v>45307</v>
      </c>
    </row>
    <row r="2754" spans="1:9" x14ac:dyDescent="0.15">
      <c r="A2754" s="5">
        <v>2753</v>
      </c>
      <c r="B2754" s="6" t="s">
        <v>9</v>
      </c>
      <c r="C2754" s="7">
        <v>1882</v>
      </c>
      <c r="D2754" s="8">
        <v>45388</v>
      </c>
      <c r="E2754" s="9" t="str">
        <f>+HYPERLINK("http://trademark.i-assist.jp/data/china/image_1882th/76409754.pdf","76409754")</f>
        <v>76409754</v>
      </c>
      <c r="F2754" s="6" t="s">
        <v>7522</v>
      </c>
      <c r="G2754" s="6" t="s">
        <v>7523</v>
      </c>
      <c r="H2754" s="8" t="s">
        <v>7524</v>
      </c>
      <c r="I2754" s="14">
        <v>45307</v>
      </c>
    </row>
    <row r="2755" spans="1:9" x14ac:dyDescent="0.15">
      <c r="A2755" s="5">
        <v>2754</v>
      </c>
      <c r="B2755" s="6" t="s">
        <v>9</v>
      </c>
      <c r="C2755" s="7">
        <v>1882</v>
      </c>
      <c r="D2755" s="8">
        <v>45388</v>
      </c>
      <c r="E2755" s="9" t="str">
        <f>+HYPERLINK("http://trademark.i-assist.jp/data/china/image_1882th/76409813.pdf","76409813")</f>
        <v>76409813</v>
      </c>
      <c r="F2755" s="6" t="s">
        <v>7525</v>
      </c>
      <c r="G2755" s="6" t="s">
        <v>7526</v>
      </c>
      <c r="H2755" s="8" t="s">
        <v>7527</v>
      </c>
      <c r="I2755" s="14">
        <v>45307</v>
      </c>
    </row>
    <row r="2756" spans="1:9" x14ac:dyDescent="0.15">
      <c r="A2756" s="5">
        <v>2755</v>
      </c>
      <c r="B2756" s="6" t="s">
        <v>9</v>
      </c>
      <c r="C2756" s="7">
        <v>1882</v>
      </c>
      <c r="D2756" s="8">
        <v>45388</v>
      </c>
      <c r="E2756" s="9" t="str">
        <f>+HYPERLINK("http://trademark.i-assist.jp/data/china/image_1882th/76410186.pdf","76410186")</f>
        <v>76410186</v>
      </c>
      <c r="F2756" s="6" t="s">
        <v>7528</v>
      </c>
      <c r="G2756" s="6" t="s">
        <v>7529</v>
      </c>
      <c r="H2756" s="8" t="s">
        <v>7530</v>
      </c>
      <c r="I2756" s="14">
        <v>45307</v>
      </c>
    </row>
    <row r="2757" spans="1:9" x14ac:dyDescent="0.15">
      <c r="A2757" s="5">
        <v>2756</v>
      </c>
      <c r="B2757" s="6" t="s">
        <v>9</v>
      </c>
      <c r="C2757" s="7">
        <v>1882</v>
      </c>
      <c r="D2757" s="8">
        <v>45388</v>
      </c>
      <c r="E2757" s="9" t="str">
        <f>+HYPERLINK("http://trademark.i-assist.jp/data/china/image_1882th/76410825.pdf","76410825")</f>
        <v>76410825</v>
      </c>
      <c r="F2757" s="6" t="s">
        <v>7531</v>
      </c>
      <c r="G2757" s="6" t="s">
        <v>7532</v>
      </c>
      <c r="H2757" s="8" t="s">
        <v>7533</v>
      </c>
      <c r="I2757" s="14">
        <v>45307</v>
      </c>
    </row>
    <row r="2758" spans="1:9" x14ac:dyDescent="0.15">
      <c r="A2758" s="5">
        <v>2757</v>
      </c>
      <c r="B2758" s="6" t="s">
        <v>9</v>
      </c>
      <c r="C2758" s="7">
        <v>1882</v>
      </c>
      <c r="D2758" s="8">
        <v>45388</v>
      </c>
      <c r="E2758" s="9" t="str">
        <f>+HYPERLINK("http://trademark.i-assist.jp/data/china/image_1882th/76411003.pdf","76411003")</f>
        <v>76411003</v>
      </c>
      <c r="F2758" s="6" t="s">
        <v>7534</v>
      </c>
      <c r="G2758" s="6" t="s">
        <v>7535</v>
      </c>
      <c r="H2758" s="8" t="s">
        <v>7536</v>
      </c>
      <c r="I2758" s="14">
        <v>45307</v>
      </c>
    </row>
    <row r="2759" spans="1:9" x14ac:dyDescent="0.15">
      <c r="A2759" s="5">
        <v>2758</v>
      </c>
      <c r="B2759" s="6" t="s">
        <v>9</v>
      </c>
      <c r="C2759" s="7">
        <v>1882</v>
      </c>
      <c r="D2759" s="8">
        <v>45388</v>
      </c>
      <c r="E2759" s="9" t="str">
        <f>+HYPERLINK("http://trademark.i-assist.jp/data/china/image_1882th/76411151.pdf","76411151")</f>
        <v>76411151</v>
      </c>
      <c r="F2759" s="6" t="s">
        <v>7537</v>
      </c>
      <c r="G2759" s="6" t="s">
        <v>7538</v>
      </c>
      <c r="H2759" s="8" t="s">
        <v>7539</v>
      </c>
      <c r="I2759" s="14">
        <v>45307</v>
      </c>
    </row>
    <row r="2760" spans="1:9" x14ac:dyDescent="0.15">
      <c r="A2760" s="5">
        <v>2759</v>
      </c>
      <c r="B2760" s="6" t="s">
        <v>9</v>
      </c>
      <c r="C2760" s="7">
        <v>1882</v>
      </c>
      <c r="D2760" s="8">
        <v>45388</v>
      </c>
      <c r="E2760" s="9" t="str">
        <f>+HYPERLINK("http://trademark.i-assist.jp/data/china/image_1882th/76411233.pdf","76411233")</f>
        <v>76411233</v>
      </c>
      <c r="F2760" s="6" t="s">
        <v>7540</v>
      </c>
      <c r="G2760" s="6" t="s">
        <v>7541</v>
      </c>
      <c r="H2760" s="8" t="s">
        <v>7542</v>
      </c>
      <c r="I2760" s="14">
        <v>45307</v>
      </c>
    </row>
    <row r="2761" spans="1:9" x14ac:dyDescent="0.15">
      <c r="A2761" s="5">
        <v>2760</v>
      </c>
      <c r="B2761" s="6" t="s">
        <v>9</v>
      </c>
      <c r="C2761" s="7">
        <v>1882</v>
      </c>
      <c r="D2761" s="8">
        <v>45388</v>
      </c>
      <c r="E2761" s="9" t="str">
        <f>+HYPERLINK("http://trademark.i-assist.jp/data/china/image_1882th/76411392.pdf","76411392")</f>
        <v>76411392</v>
      </c>
      <c r="F2761" s="6" t="s">
        <v>7543</v>
      </c>
      <c r="G2761" s="6" t="s">
        <v>7544</v>
      </c>
      <c r="H2761" s="8" t="s">
        <v>7545</v>
      </c>
      <c r="I2761" s="14">
        <v>45307</v>
      </c>
    </row>
    <row r="2762" spans="1:9" x14ac:dyDescent="0.15">
      <c r="A2762" s="5">
        <v>2761</v>
      </c>
      <c r="B2762" s="6" t="s">
        <v>9</v>
      </c>
      <c r="C2762" s="7">
        <v>1882</v>
      </c>
      <c r="D2762" s="8">
        <v>45388</v>
      </c>
      <c r="E2762" s="9" t="str">
        <f>+HYPERLINK("http://trademark.i-assist.jp/data/china/image_1882th/76411911.pdf","76411911")</f>
        <v>76411911</v>
      </c>
      <c r="F2762" s="6" t="s">
        <v>7546</v>
      </c>
      <c r="G2762" s="6" t="s">
        <v>7520</v>
      </c>
      <c r="H2762" s="8" t="s">
        <v>7547</v>
      </c>
      <c r="I2762" s="14">
        <v>45307</v>
      </c>
    </row>
    <row r="2763" spans="1:9" x14ac:dyDescent="0.15">
      <c r="A2763" s="5">
        <v>2762</v>
      </c>
      <c r="B2763" s="6" t="s">
        <v>9</v>
      </c>
      <c r="C2763" s="7">
        <v>1882</v>
      </c>
      <c r="D2763" s="8">
        <v>45388</v>
      </c>
      <c r="E2763" s="9" t="str">
        <f>+HYPERLINK("http://trademark.i-assist.jp/data/china/image_1882th/76412036.pdf","76412036")</f>
        <v>76412036</v>
      </c>
      <c r="F2763" s="6" t="s">
        <v>7548</v>
      </c>
      <c r="G2763" s="6" t="s">
        <v>7549</v>
      </c>
      <c r="H2763" s="8" t="s">
        <v>7550</v>
      </c>
      <c r="I2763" s="14">
        <v>45307</v>
      </c>
    </row>
    <row r="2764" spans="1:9" x14ac:dyDescent="0.15">
      <c r="A2764" s="5">
        <v>2763</v>
      </c>
      <c r="B2764" s="6" t="s">
        <v>9</v>
      </c>
      <c r="C2764" s="7">
        <v>1882</v>
      </c>
      <c r="D2764" s="8">
        <v>45388</v>
      </c>
      <c r="E2764" s="9" t="str">
        <f>+HYPERLINK("http://trademark.i-assist.jp/data/china/image_1882th/76412048.pdf","76412048")</f>
        <v>76412048</v>
      </c>
      <c r="F2764" s="6" t="s">
        <v>7551</v>
      </c>
      <c r="G2764" s="6" t="s">
        <v>7552</v>
      </c>
      <c r="H2764" s="8" t="s">
        <v>7553</v>
      </c>
      <c r="I2764" s="14">
        <v>45307</v>
      </c>
    </row>
    <row r="2765" spans="1:9" x14ac:dyDescent="0.15">
      <c r="A2765" s="5">
        <v>2764</v>
      </c>
      <c r="B2765" s="6" t="s">
        <v>9</v>
      </c>
      <c r="C2765" s="7">
        <v>1882</v>
      </c>
      <c r="D2765" s="8">
        <v>45388</v>
      </c>
      <c r="E2765" s="9" t="str">
        <f>+HYPERLINK("http://trademark.i-assist.jp/data/china/image_1882th/76412240.pdf","76412240")</f>
        <v>76412240</v>
      </c>
      <c r="F2765" s="6" t="s">
        <v>7554</v>
      </c>
      <c r="G2765" s="6" t="s">
        <v>7555</v>
      </c>
      <c r="H2765" s="8" t="s">
        <v>7556</v>
      </c>
      <c r="I2765" s="14">
        <v>45307</v>
      </c>
    </row>
    <row r="2766" spans="1:9" x14ac:dyDescent="0.15">
      <c r="A2766" s="5">
        <v>2765</v>
      </c>
      <c r="B2766" s="6" t="s">
        <v>9</v>
      </c>
      <c r="C2766" s="7">
        <v>1882</v>
      </c>
      <c r="D2766" s="8">
        <v>45388</v>
      </c>
      <c r="E2766" s="9" t="str">
        <f>+HYPERLINK("http://trademark.i-assist.jp/data/china/image_1882th/76412246.pdf","76412246")</f>
        <v>76412246</v>
      </c>
      <c r="F2766" s="6" t="s">
        <v>7557</v>
      </c>
      <c r="G2766" s="6" t="s">
        <v>7558</v>
      </c>
      <c r="H2766" s="8" t="s">
        <v>7559</v>
      </c>
      <c r="I2766" s="14">
        <v>45307</v>
      </c>
    </row>
    <row r="2767" spans="1:9" x14ac:dyDescent="0.15">
      <c r="A2767" s="5">
        <v>2766</v>
      </c>
      <c r="B2767" s="6" t="s">
        <v>9</v>
      </c>
      <c r="C2767" s="7">
        <v>1882</v>
      </c>
      <c r="D2767" s="8">
        <v>45388</v>
      </c>
      <c r="E2767" s="9" t="str">
        <f>+HYPERLINK("http://trademark.i-assist.jp/data/china/image_1882th/76412258.pdf","76412258")</f>
        <v>76412258</v>
      </c>
      <c r="F2767" s="6" t="s">
        <v>7560</v>
      </c>
      <c r="G2767" s="6" t="s">
        <v>7561</v>
      </c>
      <c r="H2767" s="8" t="s">
        <v>7562</v>
      </c>
      <c r="I2767" s="14">
        <v>45307</v>
      </c>
    </row>
    <row r="2768" spans="1:9" x14ac:dyDescent="0.15">
      <c r="A2768" s="5">
        <v>2767</v>
      </c>
      <c r="B2768" s="6" t="s">
        <v>9</v>
      </c>
      <c r="C2768" s="7">
        <v>1882</v>
      </c>
      <c r="D2768" s="8">
        <v>45388</v>
      </c>
      <c r="E2768" s="9" t="str">
        <f>+HYPERLINK("http://trademark.i-assist.jp/data/china/image_1882th/76412271.pdf","76412271")</f>
        <v>76412271</v>
      </c>
      <c r="F2768" s="6" t="s">
        <v>7563</v>
      </c>
      <c r="G2768" s="6" t="s">
        <v>7564</v>
      </c>
      <c r="H2768" s="8" t="s">
        <v>7565</v>
      </c>
      <c r="I2768" s="14">
        <v>45307</v>
      </c>
    </row>
    <row r="2769" spans="1:9" x14ac:dyDescent="0.15">
      <c r="A2769" s="5">
        <v>2768</v>
      </c>
      <c r="B2769" s="6" t="s">
        <v>9</v>
      </c>
      <c r="C2769" s="7">
        <v>1882</v>
      </c>
      <c r="D2769" s="8">
        <v>45388</v>
      </c>
      <c r="E2769" s="9" t="str">
        <f>+HYPERLINK("http://trademark.i-assist.jp/data/china/image_1882th/76412333.pdf","76412333")</f>
        <v>76412333</v>
      </c>
      <c r="F2769" s="6" t="s">
        <v>7566</v>
      </c>
      <c r="G2769" s="6" t="s">
        <v>7567</v>
      </c>
      <c r="H2769" s="8" t="s">
        <v>7568</v>
      </c>
      <c r="I2769" s="14">
        <v>45307</v>
      </c>
    </row>
    <row r="2770" spans="1:9" x14ac:dyDescent="0.15">
      <c r="A2770" s="5">
        <v>2769</v>
      </c>
      <c r="B2770" s="6" t="s">
        <v>9</v>
      </c>
      <c r="C2770" s="7">
        <v>1882</v>
      </c>
      <c r="D2770" s="8">
        <v>45388</v>
      </c>
      <c r="E2770" s="9" t="str">
        <f>+HYPERLINK("http://trademark.i-assist.jp/data/china/image_1882th/76412417.pdf","76412417")</f>
        <v>76412417</v>
      </c>
      <c r="F2770" s="6" t="s">
        <v>7569</v>
      </c>
      <c r="G2770" s="6" t="s">
        <v>7507</v>
      </c>
      <c r="H2770" s="8" t="s">
        <v>7570</v>
      </c>
      <c r="I2770" s="14">
        <v>45307</v>
      </c>
    </row>
    <row r="2771" spans="1:9" x14ac:dyDescent="0.15">
      <c r="A2771" s="5">
        <v>2770</v>
      </c>
      <c r="B2771" s="6" t="s">
        <v>9</v>
      </c>
      <c r="C2771" s="7">
        <v>1882</v>
      </c>
      <c r="D2771" s="8">
        <v>45388</v>
      </c>
      <c r="E2771" s="9" t="str">
        <f>+HYPERLINK("http://trademark.i-assist.jp/data/china/image_1882th/76412425.pdf","76412425")</f>
        <v>76412425</v>
      </c>
      <c r="F2771" s="6" t="s">
        <v>7571</v>
      </c>
      <c r="G2771" s="6" t="s">
        <v>7572</v>
      </c>
      <c r="H2771" s="8" t="s">
        <v>7573</v>
      </c>
      <c r="I2771" s="14">
        <v>45307</v>
      </c>
    </row>
    <row r="2772" spans="1:9" x14ac:dyDescent="0.15">
      <c r="A2772" s="5">
        <v>2771</v>
      </c>
      <c r="B2772" s="6" t="s">
        <v>9</v>
      </c>
      <c r="C2772" s="7">
        <v>1882</v>
      </c>
      <c r="D2772" s="8">
        <v>45388</v>
      </c>
      <c r="E2772" s="9" t="str">
        <f>+HYPERLINK("http://trademark.i-assist.jp/data/china/image_1882th/76412641.pdf","76412641")</f>
        <v>76412641</v>
      </c>
      <c r="F2772" s="6" t="s">
        <v>7574</v>
      </c>
      <c r="G2772" s="6" t="s">
        <v>7507</v>
      </c>
      <c r="H2772" s="8" t="s">
        <v>7575</v>
      </c>
      <c r="I2772" s="14">
        <v>45307</v>
      </c>
    </row>
    <row r="2773" spans="1:9" x14ac:dyDescent="0.15">
      <c r="A2773" s="5">
        <v>2772</v>
      </c>
      <c r="B2773" s="6" t="s">
        <v>9</v>
      </c>
      <c r="C2773" s="7">
        <v>1882</v>
      </c>
      <c r="D2773" s="8">
        <v>45388</v>
      </c>
      <c r="E2773" s="9" t="str">
        <f>+HYPERLINK("http://trademark.i-assist.jp/data/china/image_1882th/76412717.pdf","76412717")</f>
        <v>76412717</v>
      </c>
      <c r="F2773" s="6" t="s">
        <v>7576</v>
      </c>
      <c r="G2773" s="6" t="s">
        <v>7577</v>
      </c>
      <c r="H2773" s="8" t="s">
        <v>7578</v>
      </c>
      <c r="I2773" s="14">
        <v>45307</v>
      </c>
    </row>
    <row r="2774" spans="1:9" x14ac:dyDescent="0.15">
      <c r="A2774" s="5">
        <v>2773</v>
      </c>
      <c r="B2774" s="6" t="s">
        <v>9</v>
      </c>
      <c r="C2774" s="7">
        <v>1882</v>
      </c>
      <c r="D2774" s="8">
        <v>45388</v>
      </c>
      <c r="E2774" s="9" t="str">
        <f>+HYPERLINK("http://trademark.i-assist.jp/data/china/image_1882th/76412740.pdf","76412740")</f>
        <v>76412740</v>
      </c>
      <c r="F2774" s="6" t="s">
        <v>7579</v>
      </c>
      <c r="G2774" s="6" t="s">
        <v>7580</v>
      </c>
      <c r="H2774" s="8" t="s">
        <v>7581</v>
      </c>
      <c r="I2774" s="14">
        <v>45307</v>
      </c>
    </row>
    <row r="2775" spans="1:9" x14ac:dyDescent="0.15">
      <c r="A2775" s="5">
        <v>2774</v>
      </c>
      <c r="B2775" s="6" t="s">
        <v>9</v>
      </c>
      <c r="C2775" s="7">
        <v>1882</v>
      </c>
      <c r="D2775" s="8">
        <v>45388</v>
      </c>
      <c r="E2775" s="9" t="str">
        <f>+HYPERLINK("http://trademark.i-assist.jp/data/china/image_1882th/76412825.pdf","76412825")</f>
        <v>76412825</v>
      </c>
      <c r="F2775" s="6" t="s">
        <v>7582</v>
      </c>
      <c r="G2775" s="6" t="s">
        <v>7583</v>
      </c>
      <c r="H2775" s="8" t="s">
        <v>7584</v>
      </c>
      <c r="I2775" s="14">
        <v>45307</v>
      </c>
    </row>
    <row r="2776" spans="1:9" x14ac:dyDescent="0.15">
      <c r="A2776" s="5">
        <v>2775</v>
      </c>
      <c r="B2776" s="6" t="s">
        <v>9</v>
      </c>
      <c r="C2776" s="7">
        <v>1882</v>
      </c>
      <c r="D2776" s="8">
        <v>45388</v>
      </c>
      <c r="E2776" s="9" t="str">
        <f>+HYPERLINK("http://trademark.i-assist.jp/data/china/image_1882th/76413557.pdf","76413557")</f>
        <v>76413557</v>
      </c>
      <c r="F2776" s="6" t="s">
        <v>7585</v>
      </c>
      <c r="G2776" s="6" t="s">
        <v>7586</v>
      </c>
      <c r="H2776" s="8" t="s">
        <v>7587</v>
      </c>
      <c r="I2776" s="14">
        <v>45307</v>
      </c>
    </row>
    <row r="2777" spans="1:9" x14ac:dyDescent="0.15">
      <c r="A2777" s="5">
        <v>2776</v>
      </c>
      <c r="B2777" s="6" t="s">
        <v>9</v>
      </c>
      <c r="C2777" s="7">
        <v>1882</v>
      </c>
      <c r="D2777" s="8">
        <v>45388</v>
      </c>
      <c r="E2777" s="9" t="str">
        <f>+HYPERLINK("http://trademark.i-assist.jp/data/china/image_1882th/76413714.pdf","76413714")</f>
        <v>76413714</v>
      </c>
      <c r="F2777" s="6" t="s">
        <v>7588</v>
      </c>
      <c r="G2777" s="6" t="s">
        <v>7589</v>
      </c>
      <c r="H2777" s="8" t="s">
        <v>7590</v>
      </c>
      <c r="I2777" s="14">
        <v>45307</v>
      </c>
    </row>
    <row r="2778" spans="1:9" x14ac:dyDescent="0.15">
      <c r="A2778" s="5">
        <v>2777</v>
      </c>
      <c r="B2778" s="6" t="s">
        <v>9</v>
      </c>
      <c r="C2778" s="7">
        <v>1882</v>
      </c>
      <c r="D2778" s="8">
        <v>45388</v>
      </c>
      <c r="E2778" s="9" t="str">
        <f>+HYPERLINK("http://trademark.i-assist.jp/data/china/image_1882th/76413733.pdf","76413733")</f>
        <v>76413733</v>
      </c>
      <c r="F2778" s="6" t="s">
        <v>7591</v>
      </c>
      <c r="G2778" s="6" t="s">
        <v>7592</v>
      </c>
      <c r="H2778" s="8" t="s">
        <v>7593</v>
      </c>
      <c r="I2778" s="14">
        <v>45307</v>
      </c>
    </row>
    <row r="2779" spans="1:9" x14ac:dyDescent="0.15">
      <c r="A2779" s="5">
        <v>2778</v>
      </c>
      <c r="B2779" s="6" t="s">
        <v>9</v>
      </c>
      <c r="C2779" s="7">
        <v>1882</v>
      </c>
      <c r="D2779" s="8">
        <v>45388</v>
      </c>
      <c r="E2779" s="9" t="str">
        <f>+HYPERLINK("http://trademark.i-assist.jp/data/china/image_1882th/76414425.pdf","76414425")</f>
        <v>76414425</v>
      </c>
      <c r="F2779" s="6" t="s">
        <v>7594</v>
      </c>
      <c r="G2779" s="6" t="s">
        <v>6173</v>
      </c>
      <c r="H2779" s="8" t="s">
        <v>7595</v>
      </c>
      <c r="I2779" s="14">
        <v>45307</v>
      </c>
    </row>
    <row r="2780" spans="1:9" x14ac:dyDescent="0.15">
      <c r="A2780" s="5">
        <v>2779</v>
      </c>
      <c r="B2780" s="6" t="s">
        <v>9</v>
      </c>
      <c r="C2780" s="7">
        <v>1882</v>
      </c>
      <c r="D2780" s="8">
        <v>45388</v>
      </c>
      <c r="E2780" s="9" t="str">
        <f>+HYPERLINK("http://trademark.i-assist.jp/data/china/image_1882th/76414517.pdf","76414517")</f>
        <v>76414517</v>
      </c>
      <c r="F2780" s="6" t="s">
        <v>7596</v>
      </c>
      <c r="G2780" s="6" t="s">
        <v>7597</v>
      </c>
      <c r="H2780" s="8" t="s">
        <v>7598</v>
      </c>
      <c r="I2780" s="14">
        <v>45307</v>
      </c>
    </row>
    <row r="2781" spans="1:9" x14ac:dyDescent="0.15">
      <c r="A2781" s="5">
        <v>2780</v>
      </c>
      <c r="B2781" s="6" t="s">
        <v>9</v>
      </c>
      <c r="C2781" s="7">
        <v>1882</v>
      </c>
      <c r="D2781" s="8">
        <v>45388</v>
      </c>
      <c r="E2781" s="9" t="str">
        <f>+HYPERLINK("http://trademark.i-assist.jp/data/china/image_1882th/76414619.pdf","76414619")</f>
        <v>76414619</v>
      </c>
      <c r="F2781" s="6" t="s">
        <v>7599</v>
      </c>
      <c r="G2781" s="6" t="s">
        <v>7507</v>
      </c>
      <c r="H2781" s="8" t="s">
        <v>7600</v>
      </c>
      <c r="I2781" s="14">
        <v>45307</v>
      </c>
    </row>
    <row r="2782" spans="1:9" x14ac:dyDescent="0.15">
      <c r="A2782" s="5">
        <v>2781</v>
      </c>
      <c r="B2782" s="6" t="s">
        <v>9</v>
      </c>
      <c r="C2782" s="7">
        <v>1882</v>
      </c>
      <c r="D2782" s="8">
        <v>45388</v>
      </c>
      <c r="E2782" s="9" t="str">
        <f>+HYPERLINK("http://trademark.i-assist.jp/data/china/image_1882th/76414689.pdf","76414689")</f>
        <v>76414689</v>
      </c>
      <c r="F2782" s="6" t="s">
        <v>7601</v>
      </c>
      <c r="G2782" s="6" t="s">
        <v>7602</v>
      </c>
      <c r="H2782" s="8" t="s">
        <v>7603</v>
      </c>
      <c r="I2782" s="14">
        <v>45307</v>
      </c>
    </row>
    <row r="2783" spans="1:9" x14ac:dyDescent="0.15">
      <c r="A2783" s="5">
        <v>2782</v>
      </c>
      <c r="B2783" s="6" t="s">
        <v>9</v>
      </c>
      <c r="C2783" s="7">
        <v>1882</v>
      </c>
      <c r="D2783" s="8">
        <v>45388</v>
      </c>
      <c r="E2783" s="9" t="str">
        <f>+HYPERLINK("http://trademark.i-assist.jp/data/china/image_1882th/76415109.pdf","76415109")</f>
        <v>76415109</v>
      </c>
      <c r="F2783" s="6" t="s">
        <v>7604</v>
      </c>
      <c r="G2783" s="6" t="s">
        <v>7605</v>
      </c>
      <c r="H2783" s="8" t="s">
        <v>7606</v>
      </c>
      <c r="I2783" s="14">
        <v>45307</v>
      </c>
    </row>
    <row r="2784" spans="1:9" x14ac:dyDescent="0.15">
      <c r="A2784" s="5">
        <v>2783</v>
      </c>
      <c r="B2784" s="6" t="s">
        <v>9</v>
      </c>
      <c r="C2784" s="7">
        <v>1882</v>
      </c>
      <c r="D2784" s="8">
        <v>45388</v>
      </c>
      <c r="E2784" s="9" t="str">
        <f>+HYPERLINK("http://trademark.i-assist.jp/data/china/image_1882th/76415229.pdf","76415229")</f>
        <v>76415229</v>
      </c>
      <c r="F2784" s="6" t="s">
        <v>7607</v>
      </c>
      <c r="G2784" s="6" t="s">
        <v>7608</v>
      </c>
      <c r="H2784" s="8" t="s">
        <v>7609</v>
      </c>
      <c r="I2784" s="14">
        <v>45307</v>
      </c>
    </row>
    <row r="2785" spans="1:9" x14ac:dyDescent="0.15">
      <c r="A2785" s="5">
        <v>2784</v>
      </c>
      <c r="B2785" s="6" t="s">
        <v>9</v>
      </c>
      <c r="C2785" s="7">
        <v>1882</v>
      </c>
      <c r="D2785" s="8">
        <v>45388</v>
      </c>
      <c r="E2785" s="9" t="str">
        <f>+HYPERLINK("http://trademark.i-assist.jp/data/china/image_1882th/76415772.pdf","76415772")</f>
        <v>76415772</v>
      </c>
      <c r="F2785" s="6" t="s">
        <v>7610</v>
      </c>
      <c r="G2785" s="6" t="s">
        <v>7611</v>
      </c>
      <c r="H2785" s="8" t="s">
        <v>7612</v>
      </c>
      <c r="I2785" s="14">
        <v>45307</v>
      </c>
    </row>
    <row r="2786" spans="1:9" x14ac:dyDescent="0.15">
      <c r="A2786" s="5">
        <v>2785</v>
      </c>
      <c r="B2786" s="6" t="s">
        <v>9</v>
      </c>
      <c r="C2786" s="7">
        <v>1882</v>
      </c>
      <c r="D2786" s="8">
        <v>45388</v>
      </c>
      <c r="E2786" s="9" t="str">
        <f>+HYPERLINK("http://trademark.i-assist.jp/data/china/image_1882th/76415981.pdf","76415981")</f>
        <v>76415981</v>
      </c>
      <c r="F2786" s="6" t="s">
        <v>7613</v>
      </c>
      <c r="G2786" s="6" t="s">
        <v>7614</v>
      </c>
      <c r="H2786" s="8" t="s">
        <v>7615</v>
      </c>
      <c r="I2786" s="14">
        <v>45307</v>
      </c>
    </row>
    <row r="2787" spans="1:9" x14ac:dyDescent="0.15">
      <c r="A2787" s="5">
        <v>2786</v>
      </c>
      <c r="B2787" s="6" t="s">
        <v>9</v>
      </c>
      <c r="C2787" s="7">
        <v>1882</v>
      </c>
      <c r="D2787" s="8">
        <v>45388</v>
      </c>
      <c r="E2787" s="9" t="str">
        <f>+HYPERLINK("http://trademark.i-assist.jp/data/china/image_1882th/76416337.pdf","76416337")</f>
        <v>76416337</v>
      </c>
      <c r="F2787" s="6" t="s">
        <v>7616</v>
      </c>
      <c r="G2787" s="6" t="s">
        <v>7617</v>
      </c>
      <c r="H2787" s="8" t="s">
        <v>7618</v>
      </c>
      <c r="I2787" s="14">
        <v>45307</v>
      </c>
    </row>
    <row r="2788" spans="1:9" x14ac:dyDescent="0.15">
      <c r="A2788" s="5">
        <v>2787</v>
      </c>
      <c r="B2788" s="6" t="s">
        <v>9</v>
      </c>
      <c r="C2788" s="7">
        <v>1882</v>
      </c>
      <c r="D2788" s="8">
        <v>45388</v>
      </c>
      <c r="E2788" s="9" t="str">
        <f>+HYPERLINK("http://trademark.i-assist.jp/data/china/image_1882th/76416755.pdf","76416755")</f>
        <v>76416755</v>
      </c>
      <c r="F2788" s="6" t="s">
        <v>7619</v>
      </c>
      <c r="G2788" s="6" t="s">
        <v>7620</v>
      </c>
      <c r="H2788" s="8" t="s">
        <v>7621</v>
      </c>
      <c r="I2788" s="14">
        <v>45307</v>
      </c>
    </row>
    <row r="2789" spans="1:9" x14ac:dyDescent="0.15">
      <c r="A2789" s="5">
        <v>2788</v>
      </c>
      <c r="B2789" s="6" t="s">
        <v>9</v>
      </c>
      <c r="C2789" s="7">
        <v>1882</v>
      </c>
      <c r="D2789" s="8">
        <v>45388</v>
      </c>
      <c r="E2789" s="9" t="str">
        <f>+HYPERLINK("http://trademark.i-assist.jp/data/china/image_1882th/76417199.pdf","76417199")</f>
        <v>76417199</v>
      </c>
      <c r="F2789" s="6" t="s">
        <v>7622</v>
      </c>
      <c r="G2789" s="6" t="s">
        <v>7623</v>
      </c>
      <c r="H2789" s="8" t="s">
        <v>7624</v>
      </c>
      <c r="I2789" s="14">
        <v>45307</v>
      </c>
    </row>
    <row r="2790" spans="1:9" x14ac:dyDescent="0.15">
      <c r="A2790" s="5">
        <v>2789</v>
      </c>
      <c r="B2790" s="6" t="s">
        <v>9</v>
      </c>
      <c r="C2790" s="7">
        <v>1882</v>
      </c>
      <c r="D2790" s="8">
        <v>45388</v>
      </c>
      <c r="E2790" s="9" t="str">
        <f>+HYPERLINK("http://trademark.i-assist.jp/data/china/image_1882th/76417509.pdf","76417509")</f>
        <v>76417509</v>
      </c>
      <c r="F2790" s="6" t="s">
        <v>7625</v>
      </c>
      <c r="G2790" s="6" t="s">
        <v>7626</v>
      </c>
      <c r="H2790" s="8" t="s">
        <v>7627</v>
      </c>
      <c r="I2790" s="14">
        <v>45307</v>
      </c>
    </row>
    <row r="2791" spans="1:9" x14ac:dyDescent="0.15">
      <c r="A2791" s="5">
        <v>2790</v>
      </c>
      <c r="B2791" s="6" t="s">
        <v>9</v>
      </c>
      <c r="C2791" s="7">
        <v>1882</v>
      </c>
      <c r="D2791" s="8">
        <v>45388</v>
      </c>
      <c r="E2791" s="9" t="str">
        <f>+HYPERLINK("http://trademark.i-assist.jp/data/china/image_1882th/76417667.pdf","76417667")</f>
        <v>76417667</v>
      </c>
      <c r="F2791" s="6" t="s">
        <v>7628</v>
      </c>
      <c r="G2791" s="6" t="s">
        <v>7629</v>
      </c>
      <c r="H2791" s="8" t="s">
        <v>7630</v>
      </c>
      <c r="I2791" s="14">
        <v>45307</v>
      </c>
    </row>
    <row r="2792" spans="1:9" x14ac:dyDescent="0.15">
      <c r="A2792" s="5">
        <v>2791</v>
      </c>
      <c r="B2792" s="6" t="s">
        <v>9</v>
      </c>
      <c r="C2792" s="7">
        <v>1882</v>
      </c>
      <c r="D2792" s="8">
        <v>45388</v>
      </c>
      <c r="E2792" s="9" t="str">
        <f>+HYPERLINK("http://trademark.i-assist.jp/data/china/image_1882th/76417678.pdf","76417678")</f>
        <v>76417678</v>
      </c>
      <c r="F2792" s="6" t="s">
        <v>7631</v>
      </c>
      <c r="G2792" s="6" t="s">
        <v>7507</v>
      </c>
      <c r="H2792" s="8" t="s">
        <v>7632</v>
      </c>
      <c r="I2792" s="14">
        <v>45307</v>
      </c>
    </row>
    <row r="2793" spans="1:9" x14ac:dyDescent="0.15">
      <c r="A2793" s="5">
        <v>2792</v>
      </c>
      <c r="B2793" s="6" t="s">
        <v>9</v>
      </c>
      <c r="C2793" s="7">
        <v>1882</v>
      </c>
      <c r="D2793" s="8">
        <v>45388</v>
      </c>
      <c r="E2793" s="9" t="str">
        <f>+HYPERLINK("http://trademark.i-assist.jp/data/china/image_1882th/76418059.pdf","76418059")</f>
        <v>76418059</v>
      </c>
      <c r="F2793" s="6" t="s">
        <v>7633</v>
      </c>
      <c r="G2793" s="6" t="s">
        <v>7634</v>
      </c>
      <c r="H2793" s="8" t="s">
        <v>7635</v>
      </c>
      <c r="I2793" s="14">
        <v>45307</v>
      </c>
    </row>
    <row r="2794" spans="1:9" x14ac:dyDescent="0.15">
      <c r="A2794" s="5">
        <v>2793</v>
      </c>
      <c r="B2794" s="6" t="s">
        <v>9</v>
      </c>
      <c r="C2794" s="7">
        <v>1882</v>
      </c>
      <c r="D2794" s="8">
        <v>45388</v>
      </c>
      <c r="E2794" s="9" t="str">
        <f>+HYPERLINK("http://trademark.i-assist.jp/data/china/image_1882th/76418383.pdf","76418383")</f>
        <v>76418383</v>
      </c>
      <c r="F2794" s="6" t="s">
        <v>7636</v>
      </c>
      <c r="G2794" s="6" t="s">
        <v>7637</v>
      </c>
      <c r="H2794" s="8" t="s">
        <v>7638</v>
      </c>
      <c r="I2794" s="14">
        <v>45307</v>
      </c>
    </row>
    <row r="2795" spans="1:9" x14ac:dyDescent="0.15">
      <c r="A2795" s="5">
        <v>2794</v>
      </c>
      <c r="B2795" s="6" t="s">
        <v>9</v>
      </c>
      <c r="C2795" s="7">
        <v>1882</v>
      </c>
      <c r="D2795" s="8">
        <v>45388</v>
      </c>
      <c r="E2795" s="9" t="str">
        <f>+HYPERLINK("http://trademark.i-assist.jp/data/china/image_1882th/76418786.pdf","76418786")</f>
        <v>76418786</v>
      </c>
      <c r="F2795" s="6" t="s">
        <v>7639</v>
      </c>
      <c r="G2795" s="6" t="s">
        <v>7640</v>
      </c>
      <c r="H2795" s="8" t="s">
        <v>7641</v>
      </c>
      <c r="I2795" s="14">
        <v>45307</v>
      </c>
    </row>
    <row r="2796" spans="1:9" x14ac:dyDescent="0.15">
      <c r="A2796" s="5">
        <v>2795</v>
      </c>
      <c r="B2796" s="6" t="s">
        <v>9</v>
      </c>
      <c r="C2796" s="7">
        <v>1882</v>
      </c>
      <c r="D2796" s="8">
        <v>45388</v>
      </c>
      <c r="E2796" s="9" t="str">
        <f>+HYPERLINK("http://trademark.i-assist.jp/data/china/image_1882th/76418974.pdf","76418974")</f>
        <v>76418974</v>
      </c>
      <c r="F2796" s="6" t="s">
        <v>7642</v>
      </c>
      <c r="G2796" s="6" t="s">
        <v>7643</v>
      </c>
      <c r="H2796" s="8" t="s">
        <v>7644</v>
      </c>
      <c r="I2796" s="14">
        <v>45307</v>
      </c>
    </row>
    <row r="2797" spans="1:9" x14ac:dyDescent="0.15">
      <c r="A2797" s="5">
        <v>2796</v>
      </c>
      <c r="B2797" s="6" t="s">
        <v>9</v>
      </c>
      <c r="C2797" s="7">
        <v>1882</v>
      </c>
      <c r="D2797" s="8">
        <v>45388</v>
      </c>
      <c r="E2797" s="9" t="str">
        <f>+HYPERLINK("http://trademark.i-assist.jp/data/china/image_1882th/76419040.pdf","76419040")</f>
        <v>76419040</v>
      </c>
      <c r="F2797" s="6" t="s">
        <v>7645</v>
      </c>
      <c r="G2797" s="6" t="s">
        <v>7614</v>
      </c>
      <c r="H2797" s="8" t="s">
        <v>7646</v>
      </c>
      <c r="I2797" s="14">
        <v>45307</v>
      </c>
    </row>
    <row r="2798" spans="1:9" x14ac:dyDescent="0.15">
      <c r="A2798" s="5">
        <v>2797</v>
      </c>
      <c r="B2798" s="6" t="s">
        <v>9</v>
      </c>
      <c r="C2798" s="7">
        <v>1882</v>
      </c>
      <c r="D2798" s="8">
        <v>45388</v>
      </c>
      <c r="E2798" s="9" t="str">
        <f>+HYPERLINK("http://trademark.i-assist.jp/data/china/image_1882th/76419150.pdf","76419150")</f>
        <v>76419150</v>
      </c>
      <c r="F2798" s="6" t="s">
        <v>7647</v>
      </c>
      <c r="G2798" s="6" t="s">
        <v>7648</v>
      </c>
      <c r="H2798" s="8" t="s">
        <v>7649</v>
      </c>
      <c r="I2798" s="14">
        <v>45307</v>
      </c>
    </row>
    <row r="2799" spans="1:9" x14ac:dyDescent="0.15">
      <c r="A2799" s="5">
        <v>2798</v>
      </c>
      <c r="B2799" s="6" t="s">
        <v>9</v>
      </c>
      <c r="C2799" s="7">
        <v>1882</v>
      </c>
      <c r="D2799" s="8">
        <v>45388</v>
      </c>
      <c r="E2799" s="9" t="str">
        <f>+HYPERLINK("http://trademark.i-assist.jp/data/china/image_1882th/76419187.pdf","76419187")</f>
        <v>76419187</v>
      </c>
      <c r="F2799" s="6" t="s">
        <v>7650</v>
      </c>
      <c r="G2799" s="6" t="s">
        <v>7507</v>
      </c>
      <c r="H2799" s="8" t="s">
        <v>7651</v>
      </c>
      <c r="I2799" s="14">
        <v>45307</v>
      </c>
    </row>
    <row r="2800" spans="1:9" x14ac:dyDescent="0.15">
      <c r="A2800" s="5">
        <v>2799</v>
      </c>
      <c r="B2800" s="6" t="s">
        <v>9</v>
      </c>
      <c r="C2800" s="7">
        <v>1882</v>
      </c>
      <c r="D2800" s="8">
        <v>45388</v>
      </c>
      <c r="E2800" s="9" t="str">
        <f>+HYPERLINK("http://trademark.i-assist.jp/data/china/image_1882th/76419206.pdf","76419206")</f>
        <v>76419206</v>
      </c>
      <c r="F2800" s="6" t="s">
        <v>7652</v>
      </c>
      <c r="G2800" s="6" t="s">
        <v>7507</v>
      </c>
      <c r="H2800" s="8" t="s">
        <v>7653</v>
      </c>
      <c r="I2800" s="14">
        <v>45307</v>
      </c>
    </row>
    <row r="2801" spans="1:9" x14ac:dyDescent="0.15">
      <c r="A2801" s="5">
        <v>2800</v>
      </c>
      <c r="B2801" s="6" t="s">
        <v>9</v>
      </c>
      <c r="C2801" s="7">
        <v>1882</v>
      </c>
      <c r="D2801" s="8">
        <v>45388</v>
      </c>
      <c r="E2801" s="9" t="str">
        <f>+HYPERLINK("http://trademark.i-assist.jp/data/china/image_1882th/76419226.pdf","76419226")</f>
        <v>76419226</v>
      </c>
      <c r="F2801" s="6" t="s">
        <v>7654</v>
      </c>
      <c r="G2801" s="6" t="s">
        <v>7507</v>
      </c>
      <c r="H2801" s="8" t="s">
        <v>7655</v>
      </c>
      <c r="I2801" s="14">
        <v>45307</v>
      </c>
    </row>
    <row r="2802" spans="1:9" x14ac:dyDescent="0.15">
      <c r="A2802" s="5">
        <v>2801</v>
      </c>
      <c r="B2802" s="6" t="s">
        <v>9</v>
      </c>
      <c r="C2802" s="7">
        <v>1882</v>
      </c>
      <c r="D2802" s="8">
        <v>45388</v>
      </c>
      <c r="E2802" s="9" t="str">
        <f>+HYPERLINK("http://trademark.i-assist.jp/data/china/image_1882th/76419568.pdf","76419568")</f>
        <v>76419568</v>
      </c>
      <c r="F2802" s="6" t="s">
        <v>7656</v>
      </c>
      <c r="G2802" s="6" t="s">
        <v>7657</v>
      </c>
      <c r="H2802" s="8" t="s">
        <v>7658</v>
      </c>
      <c r="I2802" s="14">
        <v>45307</v>
      </c>
    </row>
    <row r="2803" spans="1:9" x14ac:dyDescent="0.15">
      <c r="A2803" s="5">
        <v>2802</v>
      </c>
      <c r="B2803" s="6" t="s">
        <v>9</v>
      </c>
      <c r="C2803" s="7">
        <v>1882</v>
      </c>
      <c r="D2803" s="8">
        <v>45388</v>
      </c>
      <c r="E2803" s="9" t="str">
        <f>+HYPERLINK("http://trademark.i-assist.jp/data/china/image_1882th/76419908.pdf","76419908")</f>
        <v>76419908</v>
      </c>
      <c r="F2803" s="6" t="s">
        <v>7659</v>
      </c>
      <c r="G2803" s="6" t="s">
        <v>7583</v>
      </c>
      <c r="H2803" s="8" t="s">
        <v>7660</v>
      </c>
      <c r="I2803" s="14">
        <v>45307</v>
      </c>
    </row>
    <row r="2804" spans="1:9" x14ac:dyDescent="0.15">
      <c r="A2804" s="5">
        <v>2803</v>
      </c>
      <c r="B2804" s="6" t="s">
        <v>9</v>
      </c>
      <c r="C2804" s="7">
        <v>1882</v>
      </c>
      <c r="D2804" s="8">
        <v>45388</v>
      </c>
      <c r="E2804" s="9" t="str">
        <f>+HYPERLINK("http://trademark.i-assist.jp/data/china/image_1882th/76420422.pdf","76420422")</f>
        <v>76420422</v>
      </c>
      <c r="F2804" s="6" t="s">
        <v>7661</v>
      </c>
      <c r="G2804" s="6" t="s">
        <v>7507</v>
      </c>
      <c r="H2804" s="8" t="s">
        <v>7662</v>
      </c>
      <c r="I2804" s="14">
        <v>45307</v>
      </c>
    </row>
    <row r="2805" spans="1:9" x14ac:dyDescent="0.15">
      <c r="A2805" s="5">
        <v>2804</v>
      </c>
      <c r="B2805" s="6" t="s">
        <v>9</v>
      </c>
      <c r="C2805" s="7">
        <v>1882</v>
      </c>
      <c r="D2805" s="8">
        <v>45388</v>
      </c>
      <c r="E2805" s="9" t="str">
        <f>+HYPERLINK("http://trademark.i-assist.jp/data/china/image_1882th/76420459.pdf","76420459")</f>
        <v>76420459</v>
      </c>
      <c r="F2805" s="6" t="s">
        <v>7663</v>
      </c>
      <c r="G2805" s="6" t="s">
        <v>7507</v>
      </c>
      <c r="H2805" s="8" t="s">
        <v>7664</v>
      </c>
      <c r="I2805" s="14">
        <v>45307</v>
      </c>
    </row>
    <row r="2806" spans="1:9" x14ac:dyDescent="0.15">
      <c r="A2806" s="5">
        <v>2805</v>
      </c>
      <c r="B2806" s="6" t="s">
        <v>9</v>
      </c>
      <c r="C2806" s="7">
        <v>1882</v>
      </c>
      <c r="D2806" s="8">
        <v>45388</v>
      </c>
      <c r="E2806" s="9" t="str">
        <f>+HYPERLINK("http://trademark.i-assist.jp/data/china/image_1882th/76420506.pdf","76420506")</f>
        <v>76420506</v>
      </c>
      <c r="F2806" s="6" t="s">
        <v>7665</v>
      </c>
      <c r="G2806" s="6" t="s">
        <v>7507</v>
      </c>
      <c r="H2806" s="8" t="s">
        <v>7666</v>
      </c>
      <c r="I2806" s="14">
        <v>45307</v>
      </c>
    </row>
    <row r="2807" spans="1:9" x14ac:dyDescent="0.15">
      <c r="A2807" s="5">
        <v>2806</v>
      </c>
      <c r="B2807" s="6" t="s">
        <v>9</v>
      </c>
      <c r="C2807" s="7">
        <v>1882</v>
      </c>
      <c r="D2807" s="8">
        <v>45388</v>
      </c>
      <c r="E2807" s="9" t="str">
        <f>+HYPERLINK("http://trademark.i-assist.jp/data/china/image_1882th/76420554.pdf","76420554")</f>
        <v>76420554</v>
      </c>
      <c r="F2807" s="6" t="s">
        <v>7667</v>
      </c>
      <c r="G2807" s="6" t="s">
        <v>7668</v>
      </c>
      <c r="H2807" s="8" t="s">
        <v>7669</v>
      </c>
      <c r="I2807" s="14">
        <v>45307</v>
      </c>
    </row>
    <row r="2808" spans="1:9" x14ac:dyDescent="0.15">
      <c r="A2808" s="5">
        <v>2807</v>
      </c>
      <c r="B2808" s="6" t="s">
        <v>9</v>
      </c>
      <c r="C2808" s="7">
        <v>1882</v>
      </c>
      <c r="D2808" s="8">
        <v>45388</v>
      </c>
      <c r="E2808" s="9" t="str">
        <f>+HYPERLINK("http://trademark.i-assist.jp/data/china/image_1882th/76420826.pdf","76420826")</f>
        <v>76420826</v>
      </c>
      <c r="F2808" s="6" t="s">
        <v>7670</v>
      </c>
      <c r="G2808" s="6" t="s">
        <v>7507</v>
      </c>
      <c r="H2808" s="8" t="s">
        <v>7671</v>
      </c>
      <c r="I2808" s="14">
        <v>45307</v>
      </c>
    </row>
    <row r="2809" spans="1:9" x14ac:dyDescent="0.15">
      <c r="A2809" s="5">
        <v>2808</v>
      </c>
      <c r="B2809" s="6" t="s">
        <v>9</v>
      </c>
      <c r="C2809" s="7">
        <v>1882</v>
      </c>
      <c r="D2809" s="8">
        <v>45388</v>
      </c>
      <c r="E2809" s="9" t="str">
        <f>+HYPERLINK("http://trademark.i-assist.jp/data/china/image_1882th/76421393.pdf","76421393")</f>
        <v>76421393</v>
      </c>
      <c r="F2809" s="6" t="s">
        <v>7672</v>
      </c>
      <c r="G2809" s="6" t="s">
        <v>7673</v>
      </c>
      <c r="H2809" s="8" t="s">
        <v>7674</v>
      </c>
      <c r="I2809" s="14">
        <v>45307</v>
      </c>
    </row>
    <row r="2810" spans="1:9" x14ac:dyDescent="0.15">
      <c r="A2810" s="5">
        <v>2809</v>
      </c>
      <c r="B2810" s="6" t="s">
        <v>9</v>
      </c>
      <c r="C2810" s="7">
        <v>1882</v>
      </c>
      <c r="D2810" s="8">
        <v>45388</v>
      </c>
      <c r="E2810" s="9" t="str">
        <f>+HYPERLINK("http://trademark.i-assist.jp/data/china/image_1882th/76421927.pdf","76421927")</f>
        <v>76421927</v>
      </c>
      <c r="F2810" s="6" t="s">
        <v>7675</v>
      </c>
      <c r="G2810" s="6" t="s">
        <v>7676</v>
      </c>
      <c r="H2810" s="8" t="s">
        <v>7677</v>
      </c>
      <c r="I2810" s="14">
        <v>45307</v>
      </c>
    </row>
    <row r="2811" spans="1:9" x14ac:dyDescent="0.15">
      <c r="A2811" s="5">
        <v>2810</v>
      </c>
      <c r="B2811" s="6" t="s">
        <v>9</v>
      </c>
      <c r="C2811" s="7">
        <v>1882</v>
      </c>
      <c r="D2811" s="8">
        <v>45388</v>
      </c>
      <c r="E2811" s="9" t="str">
        <f>+HYPERLINK("http://trademark.i-assist.jp/data/china/image_1882th/76422645.pdf","76422645")</f>
        <v>76422645</v>
      </c>
      <c r="F2811" s="6" t="s">
        <v>7678</v>
      </c>
      <c r="G2811" s="6" t="s">
        <v>7507</v>
      </c>
      <c r="H2811" s="8" t="s">
        <v>7679</v>
      </c>
      <c r="I2811" s="14">
        <v>45307</v>
      </c>
    </row>
    <row r="2812" spans="1:9" x14ac:dyDescent="0.15">
      <c r="A2812" s="5">
        <v>2811</v>
      </c>
      <c r="B2812" s="6" t="s">
        <v>9</v>
      </c>
      <c r="C2812" s="7">
        <v>1882</v>
      </c>
      <c r="D2812" s="8">
        <v>45388</v>
      </c>
      <c r="E2812" s="9" t="str">
        <f>+HYPERLINK("http://trademark.i-assist.jp/data/china/image_1882th/76422969.pdf","76422969")</f>
        <v>76422969</v>
      </c>
      <c r="F2812" s="6" t="s">
        <v>7680</v>
      </c>
      <c r="G2812" s="6" t="s">
        <v>7507</v>
      </c>
      <c r="H2812" s="8" t="s">
        <v>7681</v>
      </c>
      <c r="I2812" s="14">
        <v>45307</v>
      </c>
    </row>
    <row r="2813" spans="1:9" x14ac:dyDescent="0.15">
      <c r="A2813" s="5">
        <v>2812</v>
      </c>
      <c r="B2813" s="6" t="s">
        <v>9</v>
      </c>
      <c r="C2813" s="7">
        <v>1882</v>
      </c>
      <c r="D2813" s="8">
        <v>45388</v>
      </c>
      <c r="E2813" s="9" t="str">
        <f>+HYPERLINK("http://trademark.i-assist.jp/data/china/image_1882th/76423121.pdf","76423121")</f>
        <v>76423121</v>
      </c>
      <c r="F2813" s="6" t="s">
        <v>7682</v>
      </c>
      <c r="G2813" s="6" t="s">
        <v>7683</v>
      </c>
      <c r="H2813" s="8" t="s">
        <v>7684</v>
      </c>
      <c r="I2813" s="14">
        <v>45307</v>
      </c>
    </row>
    <row r="2814" spans="1:9" x14ac:dyDescent="0.15">
      <c r="A2814" s="5">
        <v>2813</v>
      </c>
      <c r="B2814" s="6" t="s">
        <v>9</v>
      </c>
      <c r="C2814" s="7">
        <v>1882</v>
      </c>
      <c r="D2814" s="8">
        <v>45388</v>
      </c>
      <c r="E2814" s="9" t="str">
        <f>+HYPERLINK("http://trademark.i-assist.jp/data/china/image_1882th/76423383.pdf","76423383")</f>
        <v>76423383</v>
      </c>
      <c r="F2814" s="6" t="s">
        <v>7685</v>
      </c>
      <c r="G2814" s="6" t="s">
        <v>7686</v>
      </c>
      <c r="H2814" s="8" t="s">
        <v>7687</v>
      </c>
      <c r="I2814" s="14">
        <v>45307</v>
      </c>
    </row>
    <row r="2815" spans="1:9" x14ac:dyDescent="0.15">
      <c r="A2815" s="5">
        <v>2814</v>
      </c>
      <c r="B2815" s="6" t="s">
        <v>9</v>
      </c>
      <c r="C2815" s="7">
        <v>1882</v>
      </c>
      <c r="D2815" s="8">
        <v>45388</v>
      </c>
      <c r="E2815" s="9" t="str">
        <f>+HYPERLINK("http://trademark.i-assist.jp/data/china/image_1882th/76424783.pdf","76424783")</f>
        <v>76424783</v>
      </c>
      <c r="F2815" s="6" t="s">
        <v>7688</v>
      </c>
      <c r="G2815" s="6" t="s">
        <v>7689</v>
      </c>
      <c r="H2815" s="8" t="s">
        <v>7690</v>
      </c>
      <c r="I2815" s="14">
        <v>45307</v>
      </c>
    </row>
    <row r="2816" spans="1:9" x14ac:dyDescent="0.15">
      <c r="A2816" s="5">
        <v>2815</v>
      </c>
      <c r="B2816" s="6" t="s">
        <v>9</v>
      </c>
      <c r="C2816" s="7">
        <v>1882</v>
      </c>
      <c r="D2816" s="8">
        <v>45388</v>
      </c>
      <c r="E2816" s="9" t="str">
        <f>+HYPERLINK("http://trademark.i-assist.jp/data/china/image_1882th/76425103.pdf","76425103")</f>
        <v>76425103</v>
      </c>
      <c r="F2816" s="6" t="s">
        <v>7691</v>
      </c>
      <c r="G2816" s="6" t="s">
        <v>7692</v>
      </c>
      <c r="H2816" s="8" t="s">
        <v>7693</v>
      </c>
      <c r="I2816" s="14">
        <v>45307</v>
      </c>
    </row>
    <row r="2817" spans="1:9" x14ac:dyDescent="0.15">
      <c r="A2817" s="5">
        <v>2816</v>
      </c>
      <c r="B2817" s="6" t="s">
        <v>9</v>
      </c>
      <c r="C2817" s="7">
        <v>1882</v>
      </c>
      <c r="D2817" s="8">
        <v>45388</v>
      </c>
      <c r="E2817" s="9" t="str">
        <f>+HYPERLINK("http://trademark.i-assist.jp/data/china/image_1882th/76425137.pdf","76425137")</f>
        <v>76425137</v>
      </c>
      <c r="F2817" s="6" t="s">
        <v>7694</v>
      </c>
      <c r="G2817" s="6" t="s">
        <v>7695</v>
      </c>
      <c r="H2817" s="8" t="s">
        <v>7696</v>
      </c>
      <c r="I2817" s="14">
        <v>45307</v>
      </c>
    </row>
    <row r="2818" spans="1:9" x14ac:dyDescent="0.15">
      <c r="A2818" s="5">
        <v>2817</v>
      </c>
      <c r="B2818" s="6" t="s">
        <v>9</v>
      </c>
      <c r="C2818" s="7">
        <v>1882</v>
      </c>
      <c r="D2818" s="8">
        <v>45388</v>
      </c>
      <c r="E2818" s="9" t="str">
        <f>+HYPERLINK("http://trademark.i-assist.jp/data/china/image_1882th/76425515.pdf","76425515")</f>
        <v>76425515</v>
      </c>
      <c r="F2818" s="6" t="s">
        <v>7697</v>
      </c>
      <c r="G2818" s="6" t="s">
        <v>7698</v>
      </c>
      <c r="H2818" s="8" t="s">
        <v>7699</v>
      </c>
      <c r="I2818" s="14">
        <v>45307</v>
      </c>
    </row>
    <row r="2819" spans="1:9" x14ac:dyDescent="0.15">
      <c r="A2819" s="5">
        <v>2818</v>
      </c>
      <c r="B2819" s="6" t="s">
        <v>9</v>
      </c>
      <c r="C2819" s="7">
        <v>1882</v>
      </c>
      <c r="D2819" s="8">
        <v>45388</v>
      </c>
      <c r="E2819" s="9" t="str">
        <f>+HYPERLINK("http://trademark.i-assist.jp/data/china/image_1882th/76425558.pdf","76425558")</f>
        <v>76425558</v>
      </c>
      <c r="F2819" s="6" t="s">
        <v>7700</v>
      </c>
      <c r="G2819" s="6" t="s">
        <v>7701</v>
      </c>
      <c r="H2819" s="8" t="s">
        <v>7702</v>
      </c>
      <c r="I2819" s="14">
        <v>45307</v>
      </c>
    </row>
    <row r="2820" spans="1:9" x14ac:dyDescent="0.15">
      <c r="A2820" s="5">
        <v>2819</v>
      </c>
      <c r="B2820" s="6" t="s">
        <v>9</v>
      </c>
      <c r="C2820" s="7">
        <v>1882</v>
      </c>
      <c r="D2820" s="8">
        <v>45388</v>
      </c>
      <c r="E2820" s="9" t="str">
        <f>+HYPERLINK("http://trademark.i-assist.jp/data/china/image_1882th/76425640.pdf","76425640")</f>
        <v>76425640</v>
      </c>
      <c r="F2820" s="6" t="s">
        <v>7703</v>
      </c>
      <c r="G2820" s="6" t="s">
        <v>7704</v>
      </c>
      <c r="H2820" s="8" t="s">
        <v>7705</v>
      </c>
      <c r="I2820" s="14">
        <v>45307</v>
      </c>
    </row>
    <row r="2821" spans="1:9" x14ac:dyDescent="0.15">
      <c r="A2821" s="5">
        <v>2820</v>
      </c>
      <c r="B2821" s="6" t="s">
        <v>9</v>
      </c>
      <c r="C2821" s="7">
        <v>1882</v>
      </c>
      <c r="D2821" s="8">
        <v>45388</v>
      </c>
      <c r="E2821" s="9" t="str">
        <f>+HYPERLINK("http://trademark.i-assist.jp/data/china/image_1882th/76426626.pdf","76426626")</f>
        <v>76426626</v>
      </c>
      <c r="F2821" s="6" t="s">
        <v>7706</v>
      </c>
      <c r="G2821" s="6" t="s">
        <v>7707</v>
      </c>
      <c r="H2821" s="8" t="s">
        <v>7708</v>
      </c>
      <c r="I2821" s="14">
        <v>45307</v>
      </c>
    </row>
    <row r="2822" spans="1:9" x14ac:dyDescent="0.15">
      <c r="A2822" s="5">
        <v>2821</v>
      </c>
      <c r="B2822" s="6" t="s">
        <v>9</v>
      </c>
      <c r="C2822" s="7">
        <v>1882</v>
      </c>
      <c r="D2822" s="8">
        <v>45388</v>
      </c>
      <c r="E2822" s="9" t="str">
        <f>+HYPERLINK("http://trademark.i-assist.jp/data/china/image_1882th/76427343.pdf","76427343")</f>
        <v>76427343</v>
      </c>
      <c r="F2822" s="6" t="s">
        <v>7709</v>
      </c>
      <c r="G2822" s="6" t="s">
        <v>7507</v>
      </c>
      <c r="H2822" s="8" t="s">
        <v>7710</v>
      </c>
      <c r="I2822" s="14">
        <v>45307</v>
      </c>
    </row>
    <row r="2823" spans="1:9" x14ac:dyDescent="0.15">
      <c r="A2823" s="5">
        <v>2822</v>
      </c>
      <c r="B2823" s="6" t="s">
        <v>9</v>
      </c>
      <c r="C2823" s="7">
        <v>1882</v>
      </c>
      <c r="D2823" s="8">
        <v>45388</v>
      </c>
      <c r="E2823" s="9" t="str">
        <f>+HYPERLINK("http://trademark.i-assist.jp/data/china/image_1882th/76427506.pdf","76427506")</f>
        <v>76427506</v>
      </c>
      <c r="F2823" s="6" t="s">
        <v>7711</v>
      </c>
      <c r="G2823" s="6" t="s">
        <v>7507</v>
      </c>
      <c r="H2823" s="8" t="s">
        <v>7712</v>
      </c>
      <c r="I2823" s="14">
        <v>45307</v>
      </c>
    </row>
    <row r="2824" spans="1:9" x14ac:dyDescent="0.15">
      <c r="A2824" s="5">
        <v>2823</v>
      </c>
      <c r="B2824" s="6" t="s">
        <v>9</v>
      </c>
      <c r="C2824" s="7">
        <v>1882</v>
      </c>
      <c r="D2824" s="8">
        <v>45388</v>
      </c>
      <c r="E2824" s="9" t="str">
        <f>+HYPERLINK("http://trademark.i-assist.jp/data/china/image_1882th/76427713.pdf","76427713")</f>
        <v>76427713</v>
      </c>
      <c r="F2824" s="6" t="s">
        <v>7713</v>
      </c>
      <c r="G2824" s="6" t="s">
        <v>7507</v>
      </c>
      <c r="H2824" s="8" t="s">
        <v>7714</v>
      </c>
      <c r="I2824" s="14">
        <v>45307</v>
      </c>
    </row>
    <row r="2825" spans="1:9" x14ac:dyDescent="0.15">
      <c r="A2825" s="5">
        <v>2824</v>
      </c>
      <c r="B2825" s="6" t="s">
        <v>9</v>
      </c>
      <c r="C2825" s="7">
        <v>1882</v>
      </c>
      <c r="D2825" s="8">
        <v>45388</v>
      </c>
      <c r="E2825" s="9" t="str">
        <f>+HYPERLINK("http://trademark.i-assist.jp/data/china/image_1882th/76427745.pdf","76427745")</f>
        <v>76427745</v>
      </c>
      <c r="F2825" s="6" t="s">
        <v>7715</v>
      </c>
      <c r="G2825" s="6" t="s">
        <v>7507</v>
      </c>
      <c r="H2825" s="8" t="s">
        <v>7716</v>
      </c>
      <c r="I2825" s="14">
        <v>45307</v>
      </c>
    </row>
    <row r="2826" spans="1:9" x14ac:dyDescent="0.15">
      <c r="A2826" s="5">
        <v>2825</v>
      </c>
      <c r="B2826" s="6" t="s">
        <v>9</v>
      </c>
      <c r="C2826" s="7">
        <v>1882</v>
      </c>
      <c r="D2826" s="8">
        <v>45388</v>
      </c>
      <c r="E2826" s="9" t="str">
        <f>+HYPERLINK("http://trademark.i-assist.jp/data/china/image_1882th/76427773.pdf","76427773")</f>
        <v>76427773</v>
      </c>
      <c r="F2826" s="6" t="s">
        <v>7717</v>
      </c>
      <c r="G2826" s="6" t="s">
        <v>7507</v>
      </c>
      <c r="H2826" s="8" t="s">
        <v>7718</v>
      </c>
      <c r="I2826" s="14">
        <v>45307</v>
      </c>
    </row>
    <row r="2827" spans="1:9" x14ac:dyDescent="0.15">
      <c r="A2827" s="5">
        <v>2826</v>
      </c>
      <c r="B2827" s="6" t="s">
        <v>9</v>
      </c>
      <c r="C2827" s="7">
        <v>1882</v>
      </c>
      <c r="D2827" s="8">
        <v>45388</v>
      </c>
      <c r="E2827" s="9" t="str">
        <f>+HYPERLINK("http://trademark.i-assist.jp/data/china/image_1882th/76427808.pdf","76427808")</f>
        <v>76427808</v>
      </c>
      <c r="F2827" s="6" t="s">
        <v>7719</v>
      </c>
      <c r="G2827" s="6" t="s">
        <v>7720</v>
      </c>
      <c r="H2827" s="8" t="s">
        <v>7721</v>
      </c>
      <c r="I2827" s="14">
        <v>45307</v>
      </c>
    </row>
    <row r="2828" spans="1:9" x14ac:dyDescent="0.15">
      <c r="A2828" s="5">
        <v>2827</v>
      </c>
      <c r="B2828" s="6" t="s">
        <v>9</v>
      </c>
      <c r="C2828" s="7">
        <v>1882</v>
      </c>
      <c r="D2828" s="8">
        <v>45388</v>
      </c>
      <c r="E2828" s="9" t="str">
        <f>+HYPERLINK("http://trademark.i-assist.jp/data/china/image_1882th/76428217.pdf","76428217")</f>
        <v>76428217</v>
      </c>
      <c r="F2828" s="6" t="s">
        <v>7722</v>
      </c>
      <c r="G2828" s="6" t="s">
        <v>7723</v>
      </c>
      <c r="H2828" s="8" t="s">
        <v>7724</v>
      </c>
      <c r="I2828" s="14">
        <v>45307</v>
      </c>
    </row>
    <row r="2829" spans="1:9" x14ac:dyDescent="0.15">
      <c r="A2829" s="5">
        <v>2828</v>
      </c>
      <c r="B2829" s="6" t="s">
        <v>9</v>
      </c>
      <c r="C2829" s="7">
        <v>1882</v>
      </c>
      <c r="D2829" s="8">
        <v>45388</v>
      </c>
      <c r="E2829" s="9" t="str">
        <f>+HYPERLINK("http://trademark.i-assist.jp/data/china/image_1882th/76428255.pdf","76428255")</f>
        <v>76428255</v>
      </c>
      <c r="F2829" s="6" t="s">
        <v>7725</v>
      </c>
      <c r="G2829" s="6" t="s">
        <v>7726</v>
      </c>
      <c r="H2829" s="8" t="s">
        <v>7727</v>
      </c>
      <c r="I2829" s="14">
        <v>45307</v>
      </c>
    </row>
    <row r="2830" spans="1:9" x14ac:dyDescent="0.15">
      <c r="A2830" s="5">
        <v>2829</v>
      </c>
      <c r="B2830" s="6" t="s">
        <v>9</v>
      </c>
      <c r="C2830" s="7">
        <v>1882</v>
      </c>
      <c r="D2830" s="8">
        <v>45388</v>
      </c>
      <c r="E2830" s="9" t="str">
        <f>+HYPERLINK("http://trademark.i-assist.jp/data/china/image_1882th/76428363.pdf","76428363")</f>
        <v>76428363</v>
      </c>
      <c r="F2830" s="6" t="s">
        <v>7728</v>
      </c>
      <c r="G2830" s="6" t="s">
        <v>7729</v>
      </c>
      <c r="H2830" s="8" t="s">
        <v>7730</v>
      </c>
      <c r="I2830" s="14">
        <v>45307</v>
      </c>
    </row>
    <row r="2831" spans="1:9" x14ac:dyDescent="0.15">
      <c r="A2831" s="5">
        <v>2830</v>
      </c>
      <c r="B2831" s="6" t="s">
        <v>9</v>
      </c>
      <c r="C2831" s="7">
        <v>1882</v>
      </c>
      <c r="D2831" s="8">
        <v>45388</v>
      </c>
      <c r="E2831" s="9" t="str">
        <f>+HYPERLINK("http://trademark.i-assist.jp/data/china/image_1882th/76428382.pdf","76428382")</f>
        <v>76428382</v>
      </c>
      <c r="F2831" s="6" t="s">
        <v>7731</v>
      </c>
      <c r="G2831" s="6" t="s">
        <v>7507</v>
      </c>
      <c r="H2831" s="8" t="s">
        <v>7732</v>
      </c>
      <c r="I2831" s="14">
        <v>45307</v>
      </c>
    </row>
    <row r="2832" spans="1:9" x14ac:dyDescent="0.15">
      <c r="A2832" s="5">
        <v>2831</v>
      </c>
      <c r="B2832" s="6" t="s">
        <v>9</v>
      </c>
      <c r="C2832" s="7">
        <v>1882</v>
      </c>
      <c r="D2832" s="8">
        <v>45388</v>
      </c>
      <c r="E2832" s="9" t="str">
        <f>+HYPERLINK("http://trademark.i-assist.jp/data/china/image_1882th/76428452.pdf","76428452")</f>
        <v>76428452</v>
      </c>
      <c r="F2832" s="6" t="s">
        <v>7733</v>
      </c>
      <c r="G2832" s="6" t="s">
        <v>7734</v>
      </c>
      <c r="H2832" s="8" t="s">
        <v>7735</v>
      </c>
      <c r="I2832" s="14">
        <v>45307</v>
      </c>
    </row>
    <row r="2833" spans="1:9" x14ac:dyDescent="0.15">
      <c r="A2833" s="5">
        <v>2832</v>
      </c>
      <c r="B2833" s="6" t="s">
        <v>9</v>
      </c>
      <c r="C2833" s="7">
        <v>1882</v>
      </c>
      <c r="D2833" s="8">
        <v>45388</v>
      </c>
      <c r="E2833" s="9" t="str">
        <f>+HYPERLINK("http://trademark.i-assist.jp/data/china/image_1882th/76429330.pdf","76429330")</f>
        <v>76429330</v>
      </c>
      <c r="F2833" s="6" t="s">
        <v>7736</v>
      </c>
      <c r="G2833" s="6" t="s">
        <v>7737</v>
      </c>
      <c r="H2833" s="8" t="s">
        <v>7738</v>
      </c>
      <c r="I2833" s="14">
        <v>45307</v>
      </c>
    </row>
    <row r="2834" spans="1:9" x14ac:dyDescent="0.15">
      <c r="A2834" s="5">
        <v>2833</v>
      </c>
      <c r="B2834" s="6" t="s">
        <v>9</v>
      </c>
      <c r="C2834" s="7">
        <v>1882</v>
      </c>
      <c r="D2834" s="8">
        <v>45388</v>
      </c>
      <c r="E2834" s="9" t="str">
        <f>+HYPERLINK("http://trademark.i-assist.jp/data/china/image_1882th/76429687.pdf","76429687")</f>
        <v>76429687</v>
      </c>
      <c r="F2834" s="6" t="s">
        <v>7739</v>
      </c>
      <c r="G2834" s="6" t="s">
        <v>7740</v>
      </c>
      <c r="H2834" s="8" t="s">
        <v>7741</v>
      </c>
      <c r="I2834" s="14">
        <v>45307</v>
      </c>
    </row>
    <row r="2835" spans="1:9" x14ac:dyDescent="0.15">
      <c r="A2835" s="5">
        <v>2834</v>
      </c>
      <c r="B2835" s="6" t="s">
        <v>9</v>
      </c>
      <c r="C2835" s="7">
        <v>1882</v>
      </c>
      <c r="D2835" s="8">
        <v>45388</v>
      </c>
      <c r="E2835" s="9" t="str">
        <f>+HYPERLINK("http://trademark.i-assist.jp/data/china/image_1882th/76429887.pdf","76429887")</f>
        <v>76429887</v>
      </c>
      <c r="F2835" s="6" t="s">
        <v>7742</v>
      </c>
      <c r="G2835" s="6" t="s">
        <v>7743</v>
      </c>
      <c r="H2835" s="8" t="s">
        <v>7744</v>
      </c>
      <c r="I2835" s="14">
        <v>45307</v>
      </c>
    </row>
    <row r="2836" spans="1:9" x14ac:dyDescent="0.15">
      <c r="A2836" s="5">
        <v>2835</v>
      </c>
      <c r="B2836" s="6" t="s">
        <v>9</v>
      </c>
      <c r="C2836" s="7">
        <v>1882</v>
      </c>
      <c r="D2836" s="8">
        <v>45388</v>
      </c>
      <c r="E2836" s="9" t="str">
        <f>+HYPERLINK("http://trademark.i-assist.jp/data/china/image_1882th/76431524.pdf","76431524")</f>
        <v>76431524</v>
      </c>
      <c r="F2836" s="6" t="s">
        <v>7745</v>
      </c>
      <c r="G2836" s="6" t="s">
        <v>7507</v>
      </c>
      <c r="H2836" s="8" t="s">
        <v>7746</v>
      </c>
      <c r="I2836" s="14">
        <v>45307</v>
      </c>
    </row>
    <row r="2837" spans="1:9" x14ac:dyDescent="0.15">
      <c r="A2837" s="5">
        <v>2836</v>
      </c>
      <c r="B2837" s="6" t="s">
        <v>9</v>
      </c>
      <c r="C2837" s="7">
        <v>1882</v>
      </c>
      <c r="D2837" s="8">
        <v>45388</v>
      </c>
      <c r="E2837" s="9" t="str">
        <f>+HYPERLINK("http://trademark.i-assist.jp/data/china/image_1882th/76431562.pdf","76431562")</f>
        <v>76431562</v>
      </c>
      <c r="F2837" s="6" t="s">
        <v>7747</v>
      </c>
      <c r="G2837" s="6" t="s">
        <v>7507</v>
      </c>
      <c r="H2837" s="8" t="s">
        <v>7748</v>
      </c>
      <c r="I2837" s="14">
        <v>45307</v>
      </c>
    </row>
    <row r="2838" spans="1:9" x14ac:dyDescent="0.15">
      <c r="A2838" s="5">
        <v>2837</v>
      </c>
      <c r="B2838" s="6" t="s">
        <v>9</v>
      </c>
      <c r="C2838" s="7">
        <v>1882</v>
      </c>
      <c r="D2838" s="8">
        <v>45388</v>
      </c>
      <c r="E2838" s="9" t="str">
        <f>+HYPERLINK("http://trademark.i-assist.jp/data/china/image_1882th/76431791.pdf","76431791")</f>
        <v>76431791</v>
      </c>
      <c r="F2838" s="6" t="s">
        <v>7749</v>
      </c>
      <c r="G2838" s="6" t="s">
        <v>7750</v>
      </c>
      <c r="H2838" s="8" t="s">
        <v>7751</v>
      </c>
      <c r="I2838" s="14">
        <v>45307</v>
      </c>
    </row>
    <row r="2839" spans="1:9" x14ac:dyDescent="0.15">
      <c r="A2839" s="5">
        <v>2838</v>
      </c>
      <c r="B2839" s="6" t="s">
        <v>9</v>
      </c>
      <c r="C2839" s="7">
        <v>1882</v>
      </c>
      <c r="D2839" s="8">
        <v>45388</v>
      </c>
      <c r="E2839" s="9" t="str">
        <f>+HYPERLINK("http://trademark.i-assist.jp/data/china/image_1882th/76432557.pdf","76432557")</f>
        <v>76432557</v>
      </c>
      <c r="F2839" s="6" t="s">
        <v>26</v>
      </c>
      <c r="G2839" s="6" t="s">
        <v>7676</v>
      </c>
      <c r="H2839" s="8" t="s">
        <v>7752</v>
      </c>
      <c r="I2839" s="14">
        <v>45307</v>
      </c>
    </row>
    <row r="2840" spans="1:9" x14ac:dyDescent="0.15">
      <c r="A2840" s="5">
        <v>2839</v>
      </c>
      <c r="B2840" s="6" t="s">
        <v>9</v>
      </c>
      <c r="C2840" s="7">
        <v>1882</v>
      </c>
      <c r="D2840" s="8">
        <v>45388</v>
      </c>
      <c r="E2840" s="9" t="str">
        <f>+HYPERLINK("http://trademark.i-assist.jp/data/china/image_1882th/76432743.pdf","76432743")</f>
        <v>76432743</v>
      </c>
      <c r="F2840" s="6" t="s">
        <v>7753</v>
      </c>
      <c r="G2840" s="6" t="s">
        <v>7634</v>
      </c>
      <c r="H2840" s="8" t="s">
        <v>7754</v>
      </c>
      <c r="I2840" s="14">
        <v>45307</v>
      </c>
    </row>
    <row r="2841" spans="1:9" x14ac:dyDescent="0.15">
      <c r="A2841" s="5">
        <v>2840</v>
      </c>
      <c r="B2841" s="6" t="s">
        <v>9</v>
      </c>
      <c r="C2841" s="7">
        <v>1882</v>
      </c>
      <c r="D2841" s="8">
        <v>45388</v>
      </c>
      <c r="E2841" s="9" t="str">
        <f>+HYPERLINK("http://trademark.i-assist.jp/data/china/image_1882th/76433081.pdf","76433081")</f>
        <v>76433081</v>
      </c>
      <c r="F2841" s="6" t="s">
        <v>7755</v>
      </c>
      <c r="G2841" s="6" t="s">
        <v>7507</v>
      </c>
      <c r="H2841" s="8" t="s">
        <v>7756</v>
      </c>
      <c r="I2841" s="14">
        <v>45307</v>
      </c>
    </row>
    <row r="2842" spans="1:9" x14ac:dyDescent="0.15">
      <c r="A2842" s="5">
        <v>2841</v>
      </c>
      <c r="B2842" s="6" t="s">
        <v>9</v>
      </c>
      <c r="C2842" s="7">
        <v>1882</v>
      </c>
      <c r="D2842" s="8">
        <v>45388</v>
      </c>
      <c r="E2842" s="9" t="str">
        <f>+HYPERLINK("http://trademark.i-assist.jp/data/china/image_1882th/76433186.pdf","76433186")</f>
        <v>76433186</v>
      </c>
      <c r="F2842" s="6" t="s">
        <v>7757</v>
      </c>
      <c r="G2842" s="6" t="s">
        <v>7758</v>
      </c>
      <c r="H2842" s="8" t="s">
        <v>7759</v>
      </c>
      <c r="I2842" s="14">
        <v>45308</v>
      </c>
    </row>
    <row r="2843" spans="1:9" x14ac:dyDescent="0.15">
      <c r="A2843" s="5">
        <v>2842</v>
      </c>
      <c r="B2843" s="6" t="s">
        <v>9</v>
      </c>
      <c r="C2843" s="7">
        <v>1882</v>
      </c>
      <c r="D2843" s="8">
        <v>45388</v>
      </c>
      <c r="E2843" s="9" t="str">
        <f>+HYPERLINK("http://trademark.i-assist.jp/data/china/image_1882th/76433443.pdf","76433443")</f>
        <v>76433443</v>
      </c>
      <c r="F2843" s="6" t="s">
        <v>7760</v>
      </c>
      <c r="G2843" s="6" t="s">
        <v>7761</v>
      </c>
      <c r="H2843" s="8" t="s">
        <v>7762</v>
      </c>
      <c r="I2843" s="14">
        <v>45308</v>
      </c>
    </row>
    <row r="2844" spans="1:9" x14ac:dyDescent="0.15">
      <c r="A2844" s="5">
        <v>2843</v>
      </c>
      <c r="B2844" s="6" t="s">
        <v>9</v>
      </c>
      <c r="C2844" s="7">
        <v>1882</v>
      </c>
      <c r="D2844" s="8">
        <v>45388</v>
      </c>
      <c r="E2844" s="9" t="str">
        <f>+HYPERLINK("http://trademark.i-assist.jp/data/china/image_1882th/76433765.pdf","76433765")</f>
        <v>76433765</v>
      </c>
      <c r="F2844" s="6" t="s">
        <v>7763</v>
      </c>
      <c r="G2844" s="6" t="s">
        <v>7764</v>
      </c>
      <c r="H2844" s="8" t="s">
        <v>7765</v>
      </c>
      <c r="I2844" s="14">
        <v>45308</v>
      </c>
    </row>
    <row r="2845" spans="1:9" x14ac:dyDescent="0.15">
      <c r="A2845" s="5">
        <v>2844</v>
      </c>
      <c r="B2845" s="6" t="s">
        <v>9</v>
      </c>
      <c r="C2845" s="7">
        <v>1882</v>
      </c>
      <c r="D2845" s="8">
        <v>45388</v>
      </c>
      <c r="E2845" s="9" t="str">
        <f>+HYPERLINK("http://trademark.i-assist.jp/data/china/image_1882th/76434216.pdf","76434216")</f>
        <v>76434216</v>
      </c>
      <c r="F2845" s="6" t="s">
        <v>7766</v>
      </c>
      <c r="G2845" s="6" t="s">
        <v>7767</v>
      </c>
      <c r="H2845" s="8" t="s">
        <v>7768</v>
      </c>
      <c r="I2845" s="14">
        <v>45308</v>
      </c>
    </row>
    <row r="2846" spans="1:9" x14ac:dyDescent="0.15">
      <c r="A2846" s="5">
        <v>2845</v>
      </c>
      <c r="B2846" s="6" t="s">
        <v>9</v>
      </c>
      <c r="C2846" s="7">
        <v>1882</v>
      </c>
      <c r="D2846" s="8">
        <v>45388</v>
      </c>
      <c r="E2846" s="9" t="str">
        <f>+HYPERLINK("http://trademark.i-assist.jp/data/china/image_1882th/76434694.pdf","76434694")</f>
        <v>76434694</v>
      </c>
      <c r="F2846" s="6" t="s">
        <v>7769</v>
      </c>
      <c r="G2846" s="6" t="s">
        <v>7770</v>
      </c>
      <c r="H2846" s="8" t="s">
        <v>7771</v>
      </c>
      <c r="I2846" s="14">
        <v>45308</v>
      </c>
    </row>
    <row r="2847" spans="1:9" x14ac:dyDescent="0.15">
      <c r="A2847" s="5">
        <v>2846</v>
      </c>
      <c r="B2847" s="6" t="s">
        <v>9</v>
      </c>
      <c r="C2847" s="7">
        <v>1882</v>
      </c>
      <c r="D2847" s="8">
        <v>45388</v>
      </c>
      <c r="E2847" s="9" t="str">
        <f>+HYPERLINK("http://trademark.i-assist.jp/data/china/image_1882th/76434810.pdf","76434810")</f>
        <v>76434810</v>
      </c>
      <c r="F2847" s="6" t="s">
        <v>7772</v>
      </c>
      <c r="G2847" s="6" t="s">
        <v>7773</v>
      </c>
      <c r="H2847" s="8" t="s">
        <v>7774</v>
      </c>
      <c r="I2847" s="14">
        <v>45308</v>
      </c>
    </row>
    <row r="2848" spans="1:9" x14ac:dyDescent="0.15">
      <c r="A2848" s="5">
        <v>2847</v>
      </c>
      <c r="B2848" s="6" t="s">
        <v>9</v>
      </c>
      <c r="C2848" s="7">
        <v>1882</v>
      </c>
      <c r="D2848" s="8">
        <v>45388</v>
      </c>
      <c r="E2848" s="9" t="str">
        <f>+HYPERLINK("http://trademark.i-assist.jp/data/china/image_1882th/76435016.pdf","76435016")</f>
        <v>76435016</v>
      </c>
      <c r="F2848" s="6" t="s">
        <v>7775</v>
      </c>
      <c r="G2848" s="6" t="s">
        <v>7776</v>
      </c>
      <c r="H2848" s="8" t="s">
        <v>7777</v>
      </c>
      <c r="I2848" s="14">
        <v>45308</v>
      </c>
    </row>
    <row r="2849" spans="1:9" x14ac:dyDescent="0.15">
      <c r="A2849" s="5">
        <v>2848</v>
      </c>
      <c r="B2849" s="6" t="s">
        <v>9</v>
      </c>
      <c r="C2849" s="7">
        <v>1882</v>
      </c>
      <c r="D2849" s="8">
        <v>45388</v>
      </c>
      <c r="E2849" s="9" t="str">
        <f>+HYPERLINK("http://trademark.i-assist.jp/data/china/image_1882th/76435369.pdf","76435369")</f>
        <v>76435369</v>
      </c>
      <c r="F2849" s="6" t="s">
        <v>7778</v>
      </c>
      <c r="G2849" s="6" t="s">
        <v>7779</v>
      </c>
      <c r="H2849" s="8" t="s">
        <v>7780</v>
      </c>
      <c r="I2849" s="14">
        <v>45308</v>
      </c>
    </row>
    <row r="2850" spans="1:9" x14ac:dyDescent="0.15">
      <c r="A2850" s="5">
        <v>2849</v>
      </c>
      <c r="B2850" s="6" t="s">
        <v>9</v>
      </c>
      <c r="C2850" s="7">
        <v>1882</v>
      </c>
      <c r="D2850" s="8">
        <v>45388</v>
      </c>
      <c r="E2850" s="9" t="str">
        <f>+HYPERLINK("http://trademark.i-assist.jp/data/china/image_1882th/76435482.pdf","76435482")</f>
        <v>76435482</v>
      </c>
      <c r="F2850" s="6" t="s">
        <v>7781</v>
      </c>
      <c r="G2850" s="6" t="s">
        <v>7782</v>
      </c>
      <c r="H2850" s="8" t="s">
        <v>7783</v>
      </c>
      <c r="I2850" s="14">
        <v>45308</v>
      </c>
    </row>
    <row r="2851" spans="1:9" x14ac:dyDescent="0.15">
      <c r="A2851" s="5">
        <v>2850</v>
      </c>
      <c r="B2851" s="6" t="s">
        <v>9</v>
      </c>
      <c r="C2851" s="7">
        <v>1882</v>
      </c>
      <c r="D2851" s="8">
        <v>45388</v>
      </c>
      <c r="E2851" s="9" t="str">
        <f>+HYPERLINK("http://trademark.i-assist.jp/data/china/image_1882th/76436082.pdf","76436082")</f>
        <v>76436082</v>
      </c>
      <c r="F2851" s="6" t="s">
        <v>7784</v>
      </c>
      <c r="G2851" s="6" t="s">
        <v>7785</v>
      </c>
      <c r="H2851" s="8" t="s">
        <v>7786</v>
      </c>
      <c r="I2851" s="14">
        <v>45308</v>
      </c>
    </row>
    <row r="2852" spans="1:9" x14ac:dyDescent="0.15">
      <c r="A2852" s="5">
        <v>2851</v>
      </c>
      <c r="B2852" s="6" t="s">
        <v>9</v>
      </c>
      <c r="C2852" s="7">
        <v>1882</v>
      </c>
      <c r="D2852" s="8">
        <v>45388</v>
      </c>
      <c r="E2852" s="9" t="str">
        <f>+HYPERLINK("http://trademark.i-assist.jp/data/china/image_1882th/76436163.pdf","76436163")</f>
        <v>76436163</v>
      </c>
      <c r="F2852" s="6" t="s">
        <v>7787</v>
      </c>
      <c r="G2852" s="6" t="s">
        <v>7788</v>
      </c>
      <c r="H2852" s="8" t="s">
        <v>7789</v>
      </c>
      <c r="I2852" s="14">
        <v>45308</v>
      </c>
    </row>
    <row r="2853" spans="1:9" x14ac:dyDescent="0.15">
      <c r="A2853" s="5">
        <v>2852</v>
      </c>
      <c r="B2853" s="6" t="s">
        <v>9</v>
      </c>
      <c r="C2853" s="7">
        <v>1882</v>
      </c>
      <c r="D2853" s="8">
        <v>45388</v>
      </c>
      <c r="E2853" s="9" t="str">
        <f>+HYPERLINK("http://trademark.i-assist.jp/data/china/image_1882th/76436308.pdf","76436308")</f>
        <v>76436308</v>
      </c>
      <c r="F2853" s="6" t="s">
        <v>7790</v>
      </c>
      <c r="G2853" s="6" t="s">
        <v>7791</v>
      </c>
      <c r="H2853" s="8" t="s">
        <v>7792</v>
      </c>
      <c r="I2853" s="14">
        <v>45308</v>
      </c>
    </row>
    <row r="2854" spans="1:9" x14ac:dyDescent="0.15">
      <c r="A2854" s="5">
        <v>2853</v>
      </c>
      <c r="B2854" s="6" t="s">
        <v>9</v>
      </c>
      <c r="C2854" s="7">
        <v>1882</v>
      </c>
      <c r="D2854" s="8">
        <v>45388</v>
      </c>
      <c r="E2854" s="9" t="str">
        <f>+HYPERLINK("http://trademark.i-assist.jp/data/china/image_1882th/76436620.pdf","76436620")</f>
        <v>76436620</v>
      </c>
      <c r="F2854" s="6" t="s">
        <v>7793</v>
      </c>
      <c r="G2854" s="6" t="s">
        <v>7794</v>
      </c>
      <c r="H2854" s="8" t="s">
        <v>7795</v>
      </c>
      <c r="I2854" s="14">
        <v>45308</v>
      </c>
    </row>
    <row r="2855" spans="1:9" x14ac:dyDescent="0.15">
      <c r="A2855" s="5">
        <v>2854</v>
      </c>
      <c r="B2855" s="6" t="s">
        <v>9</v>
      </c>
      <c r="C2855" s="7">
        <v>1882</v>
      </c>
      <c r="D2855" s="8">
        <v>45388</v>
      </c>
      <c r="E2855" s="9" t="str">
        <f>+HYPERLINK("http://trademark.i-assist.jp/data/china/image_1882th/76436807.pdf","76436807")</f>
        <v>76436807</v>
      </c>
      <c r="F2855" s="6" t="s">
        <v>7796</v>
      </c>
      <c r="G2855" s="6" t="s">
        <v>7797</v>
      </c>
      <c r="H2855" s="8" t="s">
        <v>7798</v>
      </c>
      <c r="I2855" s="14">
        <v>45308</v>
      </c>
    </row>
    <row r="2856" spans="1:9" x14ac:dyDescent="0.15">
      <c r="A2856" s="5">
        <v>2855</v>
      </c>
      <c r="B2856" s="6" t="s">
        <v>9</v>
      </c>
      <c r="C2856" s="7">
        <v>1882</v>
      </c>
      <c r="D2856" s="8">
        <v>45388</v>
      </c>
      <c r="E2856" s="9" t="str">
        <f>+HYPERLINK("http://trademark.i-assist.jp/data/china/image_1882th/76436941.pdf","76436941")</f>
        <v>76436941</v>
      </c>
      <c r="F2856" s="6" t="s">
        <v>7799</v>
      </c>
      <c r="G2856" s="6" t="s">
        <v>7800</v>
      </c>
      <c r="H2856" s="8" t="s">
        <v>7801</v>
      </c>
      <c r="I2856" s="14">
        <v>45308</v>
      </c>
    </row>
    <row r="2857" spans="1:9" x14ac:dyDescent="0.15">
      <c r="A2857" s="5">
        <v>2856</v>
      </c>
      <c r="B2857" s="6" t="s">
        <v>9</v>
      </c>
      <c r="C2857" s="7">
        <v>1882</v>
      </c>
      <c r="D2857" s="8">
        <v>45388</v>
      </c>
      <c r="E2857" s="9" t="str">
        <f>+HYPERLINK("http://trademark.i-assist.jp/data/china/image_1882th/76437482.pdf","76437482")</f>
        <v>76437482</v>
      </c>
      <c r="F2857" s="6" t="s">
        <v>7802</v>
      </c>
      <c r="G2857" s="6" t="s">
        <v>7803</v>
      </c>
      <c r="H2857" s="8" t="s">
        <v>7804</v>
      </c>
      <c r="I2857" s="14">
        <v>45308</v>
      </c>
    </row>
    <row r="2858" spans="1:9" x14ac:dyDescent="0.15">
      <c r="A2858" s="5">
        <v>2857</v>
      </c>
      <c r="B2858" s="6" t="s">
        <v>9</v>
      </c>
      <c r="C2858" s="7">
        <v>1882</v>
      </c>
      <c r="D2858" s="8">
        <v>45388</v>
      </c>
      <c r="E2858" s="9" t="str">
        <f>+HYPERLINK("http://trademark.i-assist.jp/data/china/image_1882th/76437483.pdf","76437483")</f>
        <v>76437483</v>
      </c>
      <c r="F2858" s="6" t="s">
        <v>7805</v>
      </c>
      <c r="G2858" s="6" t="s">
        <v>7806</v>
      </c>
      <c r="H2858" s="8" t="s">
        <v>7807</v>
      </c>
      <c r="I2858" s="14">
        <v>45308</v>
      </c>
    </row>
    <row r="2859" spans="1:9" x14ac:dyDescent="0.15">
      <c r="A2859" s="5">
        <v>2858</v>
      </c>
      <c r="B2859" s="6" t="s">
        <v>9</v>
      </c>
      <c r="C2859" s="7">
        <v>1882</v>
      </c>
      <c r="D2859" s="8">
        <v>45388</v>
      </c>
      <c r="E2859" s="9" t="str">
        <f>+HYPERLINK("http://trademark.i-assist.jp/data/china/image_1882th/76437490.pdf","76437490")</f>
        <v>76437490</v>
      </c>
      <c r="F2859" s="6" t="s">
        <v>26</v>
      </c>
      <c r="G2859" s="6" t="s">
        <v>7808</v>
      </c>
      <c r="H2859" s="8" t="s">
        <v>7809</v>
      </c>
      <c r="I2859" s="14">
        <v>45308</v>
      </c>
    </row>
    <row r="2860" spans="1:9" x14ac:dyDescent="0.15">
      <c r="A2860" s="5">
        <v>2859</v>
      </c>
      <c r="B2860" s="6" t="s">
        <v>9</v>
      </c>
      <c r="C2860" s="7">
        <v>1882</v>
      </c>
      <c r="D2860" s="8">
        <v>45388</v>
      </c>
      <c r="E2860" s="9" t="str">
        <f>+HYPERLINK("http://trademark.i-assist.jp/data/china/image_1882th/76437545.pdf","76437545")</f>
        <v>76437545</v>
      </c>
      <c r="F2860" s="6" t="s">
        <v>7810</v>
      </c>
      <c r="G2860" s="6" t="s">
        <v>7811</v>
      </c>
      <c r="H2860" s="8" t="s">
        <v>7812</v>
      </c>
      <c r="I2860" s="14">
        <v>45308</v>
      </c>
    </row>
    <row r="2861" spans="1:9" x14ac:dyDescent="0.15">
      <c r="A2861" s="5">
        <v>2860</v>
      </c>
      <c r="B2861" s="6" t="s">
        <v>9</v>
      </c>
      <c r="C2861" s="7">
        <v>1882</v>
      </c>
      <c r="D2861" s="8">
        <v>45388</v>
      </c>
      <c r="E2861" s="9" t="str">
        <f>+HYPERLINK("http://trademark.i-assist.jp/data/china/image_1882th/76437903.pdf","76437903")</f>
        <v>76437903</v>
      </c>
      <c r="F2861" s="6" t="s">
        <v>7813</v>
      </c>
      <c r="G2861" s="6" t="s">
        <v>7785</v>
      </c>
      <c r="H2861" s="8" t="s">
        <v>7814</v>
      </c>
      <c r="I2861" s="14">
        <v>45308</v>
      </c>
    </row>
    <row r="2862" spans="1:9" x14ac:dyDescent="0.15">
      <c r="A2862" s="5">
        <v>2861</v>
      </c>
      <c r="B2862" s="6" t="s">
        <v>9</v>
      </c>
      <c r="C2862" s="7">
        <v>1882</v>
      </c>
      <c r="D2862" s="8">
        <v>45388</v>
      </c>
      <c r="E2862" s="9" t="str">
        <f>+HYPERLINK("http://trademark.i-assist.jp/data/china/image_1882th/76438178.pdf","76438178")</f>
        <v>76438178</v>
      </c>
      <c r="F2862" s="6" t="s">
        <v>7815</v>
      </c>
      <c r="G2862" s="6" t="s">
        <v>7816</v>
      </c>
      <c r="H2862" s="8" t="s">
        <v>7817</v>
      </c>
      <c r="I2862" s="14">
        <v>45308</v>
      </c>
    </row>
    <row r="2863" spans="1:9" x14ac:dyDescent="0.15">
      <c r="A2863" s="5">
        <v>2862</v>
      </c>
      <c r="B2863" s="6" t="s">
        <v>9</v>
      </c>
      <c r="C2863" s="7">
        <v>1882</v>
      </c>
      <c r="D2863" s="8">
        <v>45388</v>
      </c>
      <c r="E2863" s="9" t="str">
        <f>+HYPERLINK("http://trademark.i-assist.jp/data/china/image_1882th/76438565.pdf","76438565")</f>
        <v>76438565</v>
      </c>
      <c r="F2863" s="6" t="s">
        <v>7818</v>
      </c>
      <c r="G2863" s="6" t="s">
        <v>7819</v>
      </c>
      <c r="H2863" s="8" t="s">
        <v>7820</v>
      </c>
      <c r="I2863" s="14">
        <v>45308</v>
      </c>
    </row>
    <row r="2864" spans="1:9" x14ac:dyDescent="0.15">
      <c r="A2864" s="5">
        <v>2863</v>
      </c>
      <c r="B2864" s="6" t="s">
        <v>9</v>
      </c>
      <c r="C2864" s="7">
        <v>1882</v>
      </c>
      <c r="D2864" s="8">
        <v>45388</v>
      </c>
      <c r="E2864" s="9" t="str">
        <f>+HYPERLINK("http://trademark.i-assist.jp/data/china/image_1882th/76438659.pdf","76438659")</f>
        <v>76438659</v>
      </c>
      <c r="F2864" s="6" t="s">
        <v>7821</v>
      </c>
      <c r="G2864" s="6" t="s">
        <v>7822</v>
      </c>
      <c r="H2864" s="8" t="s">
        <v>7823</v>
      </c>
      <c r="I2864" s="14">
        <v>45308</v>
      </c>
    </row>
    <row r="2865" spans="1:9" x14ac:dyDescent="0.15">
      <c r="A2865" s="5">
        <v>2864</v>
      </c>
      <c r="B2865" s="6" t="s">
        <v>9</v>
      </c>
      <c r="C2865" s="7">
        <v>1882</v>
      </c>
      <c r="D2865" s="8">
        <v>45388</v>
      </c>
      <c r="E2865" s="9" t="str">
        <f>+HYPERLINK("http://trademark.i-assist.jp/data/china/image_1882th/76438693.pdf","76438693")</f>
        <v>76438693</v>
      </c>
      <c r="F2865" s="6" t="s">
        <v>7824</v>
      </c>
      <c r="G2865" s="6" t="s">
        <v>7825</v>
      </c>
      <c r="H2865" s="8" t="s">
        <v>7826</v>
      </c>
      <c r="I2865" s="14">
        <v>45308</v>
      </c>
    </row>
    <row r="2866" spans="1:9" x14ac:dyDescent="0.15">
      <c r="A2866" s="5">
        <v>2865</v>
      </c>
      <c r="B2866" s="6" t="s">
        <v>9</v>
      </c>
      <c r="C2866" s="7">
        <v>1882</v>
      </c>
      <c r="D2866" s="8">
        <v>45388</v>
      </c>
      <c r="E2866" s="9" t="str">
        <f>+HYPERLINK("http://trademark.i-assist.jp/data/china/image_1882th/76439298.pdf","76439298")</f>
        <v>76439298</v>
      </c>
      <c r="F2866" s="6" t="s">
        <v>7827</v>
      </c>
      <c r="G2866" s="6" t="s">
        <v>7828</v>
      </c>
      <c r="H2866" s="8" t="s">
        <v>7829</v>
      </c>
      <c r="I2866" s="14">
        <v>45308</v>
      </c>
    </row>
    <row r="2867" spans="1:9" x14ac:dyDescent="0.15">
      <c r="A2867" s="5">
        <v>2866</v>
      </c>
      <c r="B2867" s="6" t="s">
        <v>9</v>
      </c>
      <c r="C2867" s="7">
        <v>1882</v>
      </c>
      <c r="D2867" s="8">
        <v>45388</v>
      </c>
      <c r="E2867" s="9" t="str">
        <f>+HYPERLINK("http://trademark.i-assist.jp/data/china/image_1882th/76439441.pdf","76439441")</f>
        <v>76439441</v>
      </c>
      <c r="F2867" s="6" t="s">
        <v>7830</v>
      </c>
      <c r="G2867" s="6" t="s">
        <v>7831</v>
      </c>
      <c r="H2867" s="8" t="s">
        <v>7832</v>
      </c>
      <c r="I2867" s="14">
        <v>45308</v>
      </c>
    </row>
    <row r="2868" spans="1:9" x14ac:dyDescent="0.15">
      <c r="A2868" s="5">
        <v>2867</v>
      </c>
      <c r="B2868" s="6" t="s">
        <v>9</v>
      </c>
      <c r="C2868" s="7">
        <v>1882</v>
      </c>
      <c r="D2868" s="8">
        <v>45388</v>
      </c>
      <c r="E2868" s="9" t="str">
        <f>+HYPERLINK("http://trademark.i-assist.jp/data/china/image_1882th/76440003.pdf","76440003")</f>
        <v>76440003</v>
      </c>
      <c r="F2868" s="6" t="s">
        <v>7833</v>
      </c>
      <c r="G2868" s="6" t="s">
        <v>7834</v>
      </c>
      <c r="H2868" s="8" t="s">
        <v>7835</v>
      </c>
      <c r="I2868" s="14">
        <v>45308</v>
      </c>
    </row>
    <row r="2869" spans="1:9" x14ac:dyDescent="0.15">
      <c r="A2869" s="5">
        <v>2868</v>
      </c>
      <c r="B2869" s="6" t="s">
        <v>9</v>
      </c>
      <c r="C2869" s="7">
        <v>1882</v>
      </c>
      <c r="D2869" s="8">
        <v>45388</v>
      </c>
      <c r="E2869" s="9" t="str">
        <f>+HYPERLINK("http://trademark.i-assist.jp/data/china/image_1882th/76440071.pdf","76440071")</f>
        <v>76440071</v>
      </c>
      <c r="F2869" s="6" t="s">
        <v>7836</v>
      </c>
      <c r="G2869" s="6" t="s">
        <v>7837</v>
      </c>
      <c r="H2869" s="8" t="s">
        <v>7838</v>
      </c>
      <c r="I2869" s="14">
        <v>45308</v>
      </c>
    </row>
    <row r="2870" spans="1:9" x14ac:dyDescent="0.15">
      <c r="A2870" s="5">
        <v>2869</v>
      </c>
      <c r="B2870" s="6" t="s">
        <v>9</v>
      </c>
      <c r="C2870" s="7">
        <v>1882</v>
      </c>
      <c r="D2870" s="8">
        <v>45388</v>
      </c>
      <c r="E2870" s="9" t="str">
        <f>+HYPERLINK("http://trademark.i-assist.jp/data/china/image_1882th/76441142.pdf","76441142")</f>
        <v>76441142</v>
      </c>
      <c r="F2870" s="6" t="s">
        <v>7839</v>
      </c>
      <c r="G2870" s="6" t="s">
        <v>7788</v>
      </c>
      <c r="H2870" s="8" t="s">
        <v>7840</v>
      </c>
      <c r="I2870" s="14">
        <v>45308</v>
      </c>
    </row>
    <row r="2871" spans="1:9" x14ac:dyDescent="0.15">
      <c r="A2871" s="5">
        <v>2870</v>
      </c>
      <c r="B2871" s="6" t="s">
        <v>9</v>
      </c>
      <c r="C2871" s="7">
        <v>1882</v>
      </c>
      <c r="D2871" s="8">
        <v>45388</v>
      </c>
      <c r="E2871" s="9" t="str">
        <f>+HYPERLINK("http://trademark.i-assist.jp/data/china/image_1882th/76441215.pdf","76441215")</f>
        <v>76441215</v>
      </c>
      <c r="F2871" s="6" t="s">
        <v>7841</v>
      </c>
      <c r="G2871" s="6" t="s">
        <v>7842</v>
      </c>
      <c r="H2871" s="8" t="s">
        <v>7843</v>
      </c>
      <c r="I2871" s="14">
        <v>45308</v>
      </c>
    </row>
    <row r="2872" spans="1:9" x14ac:dyDescent="0.15">
      <c r="A2872" s="5">
        <v>2871</v>
      </c>
      <c r="B2872" s="6" t="s">
        <v>9</v>
      </c>
      <c r="C2872" s="7">
        <v>1882</v>
      </c>
      <c r="D2872" s="8">
        <v>45388</v>
      </c>
      <c r="E2872" s="9" t="str">
        <f>+HYPERLINK("http://trademark.i-assist.jp/data/china/image_1882th/76441989.pdf","76441989")</f>
        <v>76441989</v>
      </c>
      <c r="F2872" s="6" t="s">
        <v>7844</v>
      </c>
      <c r="G2872" s="6" t="s">
        <v>7845</v>
      </c>
      <c r="H2872" s="8" t="s">
        <v>7846</v>
      </c>
      <c r="I2872" s="14">
        <v>45308</v>
      </c>
    </row>
    <row r="2873" spans="1:9" x14ac:dyDescent="0.15">
      <c r="A2873" s="5">
        <v>2872</v>
      </c>
      <c r="B2873" s="6" t="s">
        <v>9</v>
      </c>
      <c r="C2873" s="7">
        <v>1882</v>
      </c>
      <c r="D2873" s="8">
        <v>45388</v>
      </c>
      <c r="E2873" s="9" t="str">
        <f>+HYPERLINK("http://trademark.i-assist.jp/data/china/image_1882th/76442151.pdf","76442151")</f>
        <v>76442151</v>
      </c>
      <c r="F2873" s="6" t="s">
        <v>7847</v>
      </c>
      <c r="G2873" s="6" t="s">
        <v>7848</v>
      </c>
      <c r="H2873" s="8" t="s">
        <v>7849</v>
      </c>
      <c r="I2873" s="14">
        <v>45308</v>
      </c>
    </row>
    <row r="2874" spans="1:9" x14ac:dyDescent="0.15">
      <c r="A2874" s="5">
        <v>2873</v>
      </c>
      <c r="B2874" s="6" t="s">
        <v>9</v>
      </c>
      <c r="C2874" s="7">
        <v>1882</v>
      </c>
      <c r="D2874" s="8">
        <v>45388</v>
      </c>
      <c r="E2874" s="9" t="str">
        <f>+HYPERLINK("http://trademark.i-assist.jp/data/china/image_1882th/76442318.pdf","76442318")</f>
        <v>76442318</v>
      </c>
      <c r="F2874" s="6" t="s">
        <v>7850</v>
      </c>
      <c r="G2874" s="6" t="s">
        <v>6373</v>
      </c>
      <c r="H2874" s="8" t="s">
        <v>7851</v>
      </c>
      <c r="I2874" s="14">
        <v>45308</v>
      </c>
    </row>
    <row r="2875" spans="1:9" x14ac:dyDescent="0.15">
      <c r="A2875" s="5">
        <v>2874</v>
      </c>
      <c r="B2875" s="6" t="s">
        <v>9</v>
      </c>
      <c r="C2875" s="7">
        <v>1882</v>
      </c>
      <c r="D2875" s="8">
        <v>45388</v>
      </c>
      <c r="E2875" s="9" t="str">
        <f>+HYPERLINK("http://trademark.i-assist.jp/data/china/image_1882th/76442334.pdf","76442334")</f>
        <v>76442334</v>
      </c>
      <c r="F2875" s="6" t="s">
        <v>7852</v>
      </c>
      <c r="G2875" s="6" t="s">
        <v>6373</v>
      </c>
      <c r="H2875" s="8" t="s">
        <v>7853</v>
      </c>
      <c r="I2875" s="14">
        <v>45308</v>
      </c>
    </row>
    <row r="2876" spans="1:9" x14ac:dyDescent="0.15">
      <c r="A2876" s="5">
        <v>2875</v>
      </c>
      <c r="B2876" s="6" t="s">
        <v>9</v>
      </c>
      <c r="C2876" s="7">
        <v>1882</v>
      </c>
      <c r="D2876" s="8">
        <v>45388</v>
      </c>
      <c r="E2876" s="9" t="str">
        <f>+HYPERLINK("http://trademark.i-assist.jp/data/china/image_1882th/76442577.pdf","76442577")</f>
        <v>76442577</v>
      </c>
      <c r="F2876" s="6" t="s">
        <v>7854</v>
      </c>
      <c r="G2876" s="6" t="s">
        <v>7216</v>
      </c>
      <c r="H2876" s="8" t="s">
        <v>7855</v>
      </c>
      <c r="I2876" s="14">
        <v>45308</v>
      </c>
    </row>
    <row r="2877" spans="1:9" x14ac:dyDescent="0.15">
      <c r="A2877" s="5">
        <v>2876</v>
      </c>
      <c r="B2877" s="6" t="s">
        <v>9</v>
      </c>
      <c r="C2877" s="7">
        <v>1882</v>
      </c>
      <c r="D2877" s="8">
        <v>45388</v>
      </c>
      <c r="E2877" s="9" t="str">
        <f>+HYPERLINK("http://trademark.i-assist.jp/data/china/image_1882th/76442761.pdf","76442761")</f>
        <v>76442761</v>
      </c>
      <c r="F2877" s="6" t="s">
        <v>7856</v>
      </c>
      <c r="G2877" s="6" t="s">
        <v>7857</v>
      </c>
      <c r="H2877" s="8" t="s">
        <v>7858</v>
      </c>
      <c r="I2877" s="14">
        <v>45308</v>
      </c>
    </row>
    <row r="2878" spans="1:9" x14ac:dyDescent="0.15">
      <c r="A2878" s="5">
        <v>2877</v>
      </c>
      <c r="B2878" s="6" t="s">
        <v>9</v>
      </c>
      <c r="C2878" s="7">
        <v>1882</v>
      </c>
      <c r="D2878" s="8">
        <v>45388</v>
      </c>
      <c r="E2878" s="9" t="str">
        <f>+HYPERLINK("http://trademark.i-assist.jp/data/china/image_1882th/76443279.pdf","76443279")</f>
        <v>76443279</v>
      </c>
      <c r="F2878" s="6" t="s">
        <v>7859</v>
      </c>
      <c r="G2878" s="6" t="s">
        <v>7767</v>
      </c>
      <c r="H2878" s="8" t="s">
        <v>7860</v>
      </c>
      <c r="I2878" s="14">
        <v>45308</v>
      </c>
    </row>
    <row r="2879" spans="1:9" x14ac:dyDescent="0.15">
      <c r="A2879" s="5">
        <v>2878</v>
      </c>
      <c r="B2879" s="6" t="s">
        <v>9</v>
      </c>
      <c r="C2879" s="7">
        <v>1882</v>
      </c>
      <c r="D2879" s="8">
        <v>45388</v>
      </c>
      <c r="E2879" s="9" t="str">
        <f>+HYPERLINK("http://trademark.i-assist.jp/data/china/image_1882th/76443789.pdf","76443789")</f>
        <v>76443789</v>
      </c>
      <c r="F2879" s="6" t="s">
        <v>7861</v>
      </c>
      <c r="G2879" s="6" t="s">
        <v>7862</v>
      </c>
      <c r="H2879" s="8" t="s">
        <v>7863</v>
      </c>
      <c r="I2879" s="14">
        <v>45308</v>
      </c>
    </row>
    <row r="2880" spans="1:9" x14ac:dyDescent="0.15">
      <c r="A2880" s="5">
        <v>2879</v>
      </c>
      <c r="B2880" s="6" t="s">
        <v>9</v>
      </c>
      <c r="C2880" s="7">
        <v>1882</v>
      </c>
      <c r="D2880" s="8">
        <v>45388</v>
      </c>
      <c r="E2880" s="9" t="str">
        <f>+HYPERLINK("http://trademark.i-assist.jp/data/china/image_1882th/76444114.pdf","76444114")</f>
        <v>76444114</v>
      </c>
      <c r="F2880" s="6" t="s">
        <v>7864</v>
      </c>
      <c r="G2880" s="6" t="s">
        <v>7865</v>
      </c>
      <c r="H2880" s="8" t="s">
        <v>7866</v>
      </c>
      <c r="I2880" s="14">
        <v>45308</v>
      </c>
    </row>
    <row r="2881" spans="1:9" x14ac:dyDescent="0.15">
      <c r="A2881" s="5">
        <v>2880</v>
      </c>
      <c r="B2881" s="6" t="s">
        <v>9</v>
      </c>
      <c r="C2881" s="7">
        <v>1882</v>
      </c>
      <c r="D2881" s="8">
        <v>45388</v>
      </c>
      <c r="E2881" s="9" t="str">
        <f>+HYPERLINK("http://trademark.i-assist.jp/data/china/image_1882th/76444359.pdf","76444359")</f>
        <v>76444359</v>
      </c>
      <c r="F2881" s="6" t="s">
        <v>7867</v>
      </c>
      <c r="G2881" s="6" t="s">
        <v>7788</v>
      </c>
      <c r="H2881" s="8" t="s">
        <v>7868</v>
      </c>
      <c r="I2881" s="14">
        <v>45308</v>
      </c>
    </row>
    <row r="2882" spans="1:9" x14ac:dyDescent="0.15">
      <c r="A2882" s="5">
        <v>2881</v>
      </c>
      <c r="B2882" s="6" t="s">
        <v>9</v>
      </c>
      <c r="C2882" s="7">
        <v>1882</v>
      </c>
      <c r="D2882" s="8">
        <v>45388</v>
      </c>
      <c r="E2882" s="9" t="str">
        <f>+HYPERLINK("http://trademark.i-assist.jp/data/china/image_1882th/76444611.pdf","76444611")</f>
        <v>76444611</v>
      </c>
      <c r="F2882" s="6" t="s">
        <v>7869</v>
      </c>
      <c r="G2882" s="6" t="s">
        <v>7870</v>
      </c>
      <c r="H2882" s="8" t="s">
        <v>7871</v>
      </c>
      <c r="I2882" s="14">
        <v>45308</v>
      </c>
    </row>
    <row r="2883" spans="1:9" x14ac:dyDescent="0.15">
      <c r="A2883" s="5">
        <v>2882</v>
      </c>
      <c r="B2883" s="6" t="s">
        <v>9</v>
      </c>
      <c r="C2883" s="7">
        <v>1882</v>
      </c>
      <c r="D2883" s="8">
        <v>45388</v>
      </c>
      <c r="E2883" s="9" t="str">
        <f>+HYPERLINK("http://trademark.i-assist.jp/data/china/image_1882th/76444695.pdf","76444695")</f>
        <v>76444695</v>
      </c>
      <c r="F2883" s="6" t="s">
        <v>7872</v>
      </c>
      <c r="G2883" s="6" t="s">
        <v>7873</v>
      </c>
      <c r="H2883" s="8" t="s">
        <v>7874</v>
      </c>
      <c r="I2883" s="14">
        <v>45308</v>
      </c>
    </row>
    <row r="2884" spans="1:9" x14ac:dyDescent="0.15">
      <c r="A2884" s="5">
        <v>2883</v>
      </c>
      <c r="B2884" s="6" t="s">
        <v>9</v>
      </c>
      <c r="C2884" s="7">
        <v>1882</v>
      </c>
      <c r="D2884" s="8">
        <v>45388</v>
      </c>
      <c r="E2884" s="9" t="str">
        <f>+HYPERLINK("http://trademark.i-assist.jp/data/china/image_1882th/76445669.pdf","76445669")</f>
        <v>76445669</v>
      </c>
      <c r="F2884" s="6" t="s">
        <v>7875</v>
      </c>
      <c r="G2884" s="6" t="s">
        <v>7800</v>
      </c>
      <c r="H2884" s="8" t="s">
        <v>7876</v>
      </c>
      <c r="I2884" s="14">
        <v>45308</v>
      </c>
    </row>
    <row r="2885" spans="1:9" x14ac:dyDescent="0.15">
      <c r="A2885" s="5">
        <v>2884</v>
      </c>
      <c r="B2885" s="6" t="s">
        <v>9</v>
      </c>
      <c r="C2885" s="7">
        <v>1882</v>
      </c>
      <c r="D2885" s="8">
        <v>45388</v>
      </c>
      <c r="E2885" s="9" t="str">
        <f>+HYPERLINK("http://trademark.i-assist.jp/data/china/image_1882th/76446982.pdf","76446982")</f>
        <v>76446982</v>
      </c>
      <c r="F2885" s="6" t="s">
        <v>7877</v>
      </c>
      <c r="G2885" s="6" t="s">
        <v>7878</v>
      </c>
      <c r="H2885" s="8" t="s">
        <v>7879</v>
      </c>
      <c r="I2885" s="14">
        <v>45308</v>
      </c>
    </row>
    <row r="2886" spans="1:9" x14ac:dyDescent="0.15">
      <c r="A2886" s="5">
        <v>2885</v>
      </c>
      <c r="B2886" s="6" t="s">
        <v>9</v>
      </c>
      <c r="C2886" s="7">
        <v>1882</v>
      </c>
      <c r="D2886" s="8">
        <v>45388</v>
      </c>
      <c r="E2886" s="9" t="str">
        <f>+HYPERLINK("http://trademark.i-assist.jp/data/china/image_1882th/76447095.pdf","76447095")</f>
        <v>76447095</v>
      </c>
      <c r="F2886" s="6" t="s">
        <v>7880</v>
      </c>
      <c r="G2886" s="6" t="s">
        <v>7881</v>
      </c>
      <c r="H2886" s="8" t="s">
        <v>7882</v>
      </c>
      <c r="I2886" s="14">
        <v>45308</v>
      </c>
    </row>
    <row r="2887" spans="1:9" x14ac:dyDescent="0.15">
      <c r="A2887" s="5">
        <v>2886</v>
      </c>
      <c r="B2887" s="6" t="s">
        <v>9</v>
      </c>
      <c r="C2887" s="7">
        <v>1882</v>
      </c>
      <c r="D2887" s="8">
        <v>45388</v>
      </c>
      <c r="E2887" s="9" t="str">
        <f>+HYPERLINK("http://trademark.i-assist.jp/data/china/image_1882th/76447521.pdf","76447521")</f>
        <v>76447521</v>
      </c>
      <c r="F2887" s="6" t="s">
        <v>7883</v>
      </c>
      <c r="G2887" s="6" t="s">
        <v>7884</v>
      </c>
      <c r="H2887" s="8" t="s">
        <v>7885</v>
      </c>
      <c r="I2887" s="14">
        <v>45308</v>
      </c>
    </row>
    <row r="2888" spans="1:9" x14ac:dyDescent="0.15">
      <c r="A2888" s="5">
        <v>2887</v>
      </c>
      <c r="B2888" s="6" t="s">
        <v>9</v>
      </c>
      <c r="C2888" s="7">
        <v>1882</v>
      </c>
      <c r="D2888" s="8">
        <v>45388</v>
      </c>
      <c r="E2888" s="9" t="str">
        <f>+HYPERLINK("http://trademark.i-assist.jp/data/china/image_1882th/76447980.pdf","76447980")</f>
        <v>76447980</v>
      </c>
      <c r="F2888" s="6" t="s">
        <v>7886</v>
      </c>
      <c r="G2888" s="6" t="s">
        <v>7857</v>
      </c>
      <c r="H2888" s="8" t="s">
        <v>7887</v>
      </c>
      <c r="I2888" s="14">
        <v>45308</v>
      </c>
    </row>
    <row r="2889" spans="1:9" x14ac:dyDescent="0.15">
      <c r="A2889" s="5">
        <v>2888</v>
      </c>
      <c r="B2889" s="6" t="s">
        <v>9</v>
      </c>
      <c r="C2889" s="7">
        <v>1882</v>
      </c>
      <c r="D2889" s="8">
        <v>45388</v>
      </c>
      <c r="E2889" s="9" t="str">
        <f>+HYPERLINK("http://trademark.i-assist.jp/data/china/image_1882th/76448106.pdf","76448106")</f>
        <v>76448106</v>
      </c>
      <c r="F2889" s="6" t="s">
        <v>7888</v>
      </c>
      <c r="G2889" s="6" t="s">
        <v>7889</v>
      </c>
      <c r="H2889" s="8" t="s">
        <v>7890</v>
      </c>
      <c r="I2889" s="14">
        <v>45308</v>
      </c>
    </row>
    <row r="2890" spans="1:9" x14ac:dyDescent="0.15">
      <c r="A2890" s="5">
        <v>2889</v>
      </c>
      <c r="B2890" s="6" t="s">
        <v>9</v>
      </c>
      <c r="C2890" s="7">
        <v>1882</v>
      </c>
      <c r="D2890" s="8">
        <v>45388</v>
      </c>
      <c r="E2890" s="9" t="str">
        <f>+HYPERLINK("http://trademark.i-assist.jp/data/china/image_1882th/76448562.pdf","76448562")</f>
        <v>76448562</v>
      </c>
      <c r="F2890" s="6" t="s">
        <v>7891</v>
      </c>
      <c r="G2890" s="6" t="s">
        <v>7892</v>
      </c>
      <c r="H2890" s="8" t="s">
        <v>7893</v>
      </c>
      <c r="I2890" s="14">
        <v>45308</v>
      </c>
    </row>
    <row r="2891" spans="1:9" x14ac:dyDescent="0.15">
      <c r="A2891" s="5">
        <v>2890</v>
      </c>
      <c r="B2891" s="6" t="s">
        <v>9</v>
      </c>
      <c r="C2891" s="7">
        <v>1882</v>
      </c>
      <c r="D2891" s="8">
        <v>45388</v>
      </c>
      <c r="E2891" s="9" t="str">
        <f>+HYPERLINK("http://trademark.i-assist.jp/data/china/image_1882th/76448872.pdf","76448872")</f>
        <v>76448872</v>
      </c>
      <c r="F2891" s="6" t="s">
        <v>7894</v>
      </c>
      <c r="G2891" s="6" t="s">
        <v>7895</v>
      </c>
      <c r="H2891" s="8" t="s">
        <v>7896</v>
      </c>
      <c r="I2891" s="14">
        <v>45308</v>
      </c>
    </row>
    <row r="2892" spans="1:9" x14ac:dyDescent="0.15">
      <c r="A2892" s="5">
        <v>2891</v>
      </c>
      <c r="B2892" s="6" t="s">
        <v>9</v>
      </c>
      <c r="C2892" s="7">
        <v>1882</v>
      </c>
      <c r="D2892" s="8">
        <v>45388</v>
      </c>
      <c r="E2892" s="9" t="str">
        <f>+HYPERLINK("http://trademark.i-assist.jp/data/china/image_1882th/76450141.pdf","76450141")</f>
        <v>76450141</v>
      </c>
      <c r="F2892" s="6" t="s">
        <v>7897</v>
      </c>
      <c r="G2892" s="6" t="s">
        <v>7898</v>
      </c>
      <c r="H2892" s="8" t="s">
        <v>7899</v>
      </c>
      <c r="I2892" s="14">
        <v>45308</v>
      </c>
    </row>
    <row r="2893" spans="1:9" x14ac:dyDescent="0.15">
      <c r="A2893" s="5">
        <v>2892</v>
      </c>
      <c r="B2893" s="6" t="s">
        <v>9</v>
      </c>
      <c r="C2893" s="7">
        <v>1882</v>
      </c>
      <c r="D2893" s="8">
        <v>45388</v>
      </c>
      <c r="E2893" s="9" t="str">
        <f>+HYPERLINK("http://trademark.i-assist.jp/data/china/image_1882th/76450448.pdf","76450448")</f>
        <v>76450448</v>
      </c>
      <c r="F2893" s="6" t="s">
        <v>7900</v>
      </c>
      <c r="G2893" s="6" t="s">
        <v>7788</v>
      </c>
      <c r="H2893" s="8" t="s">
        <v>7901</v>
      </c>
      <c r="I2893" s="14">
        <v>45308</v>
      </c>
    </row>
    <row r="2894" spans="1:9" x14ac:dyDescent="0.15">
      <c r="A2894" s="5">
        <v>2893</v>
      </c>
      <c r="B2894" s="6" t="s">
        <v>9</v>
      </c>
      <c r="C2894" s="7">
        <v>1882</v>
      </c>
      <c r="D2894" s="8">
        <v>45388</v>
      </c>
      <c r="E2894" s="9" t="str">
        <f>+HYPERLINK("http://trademark.i-assist.jp/data/china/image_1882th/76451037.pdf","76451037")</f>
        <v>76451037</v>
      </c>
      <c r="F2894" s="6" t="s">
        <v>7902</v>
      </c>
      <c r="G2894" s="6" t="s">
        <v>7903</v>
      </c>
      <c r="H2894" s="8" t="s">
        <v>7904</v>
      </c>
      <c r="I2894" s="14">
        <v>45308</v>
      </c>
    </row>
    <row r="2895" spans="1:9" x14ac:dyDescent="0.15">
      <c r="A2895" s="5">
        <v>2894</v>
      </c>
      <c r="B2895" s="6" t="s">
        <v>9</v>
      </c>
      <c r="C2895" s="7">
        <v>1882</v>
      </c>
      <c r="D2895" s="8">
        <v>45388</v>
      </c>
      <c r="E2895" s="9" t="str">
        <f>+HYPERLINK("http://trademark.i-assist.jp/data/china/image_1882th/76451421.pdf","76451421")</f>
        <v>76451421</v>
      </c>
      <c r="F2895" s="6" t="s">
        <v>7905</v>
      </c>
      <c r="G2895" s="6" t="s">
        <v>7906</v>
      </c>
      <c r="H2895" s="8" t="s">
        <v>7907</v>
      </c>
      <c r="I2895" s="14">
        <v>45308</v>
      </c>
    </row>
    <row r="2896" spans="1:9" x14ac:dyDescent="0.15">
      <c r="A2896" s="5">
        <v>2895</v>
      </c>
      <c r="B2896" s="6" t="s">
        <v>9</v>
      </c>
      <c r="C2896" s="7">
        <v>1882</v>
      </c>
      <c r="D2896" s="8">
        <v>45388</v>
      </c>
      <c r="E2896" s="9" t="str">
        <f>+HYPERLINK("http://trademark.i-assist.jp/data/china/image_1882th/76451730.pdf","76451730")</f>
        <v>76451730</v>
      </c>
      <c r="F2896" s="6" t="s">
        <v>7908</v>
      </c>
      <c r="G2896" s="6" t="s">
        <v>7909</v>
      </c>
      <c r="H2896" s="8" t="s">
        <v>7910</v>
      </c>
      <c r="I2896" s="14">
        <v>45308</v>
      </c>
    </row>
    <row r="2897" spans="1:9" x14ac:dyDescent="0.15">
      <c r="A2897" s="5">
        <v>2896</v>
      </c>
      <c r="B2897" s="6" t="s">
        <v>9</v>
      </c>
      <c r="C2897" s="7">
        <v>1882</v>
      </c>
      <c r="D2897" s="8">
        <v>45388</v>
      </c>
      <c r="E2897" s="9" t="str">
        <f>+HYPERLINK("http://trademark.i-assist.jp/data/china/image_1882th/76452409.pdf","76452409")</f>
        <v>76452409</v>
      </c>
      <c r="F2897" s="6" t="s">
        <v>26</v>
      </c>
      <c r="G2897" s="6" t="s">
        <v>7911</v>
      </c>
      <c r="H2897" s="8" t="s">
        <v>7912</v>
      </c>
      <c r="I2897" s="14">
        <v>45308</v>
      </c>
    </row>
    <row r="2898" spans="1:9" x14ac:dyDescent="0.15">
      <c r="A2898" s="5">
        <v>2897</v>
      </c>
      <c r="B2898" s="6" t="s">
        <v>9</v>
      </c>
      <c r="C2898" s="7">
        <v>1882</v>
      </c>
      <c r="D2898" s="8">
        <v>45388</v>
      </c>
      <c r="E2898" s="9" t="str">
        <f>+HYPERLINK("http://trademark.i-assist.jp/data/china/image_1882th/76452585.pdf","76452585")</f>
        <v>76452585</v>
      </c>
      <c r="F2898" s="6" t="s">
        <v>7913</v>
      </c>
      <c r="G2898" s="6" t="s">
        <v>7770</v>
      </c>
      <c r="H2898" s="8" t="s">
        <v>7914</v>
      </c>
      <c r="I2898" s="14">
        <v>45308</v>
      </c>
    </row>
    <row r="2899" spans="1:9" x14ac:dyDescent="0.15">
      <c r="A2899" s="5">
        <v>2898</v>
      </c>
      <c r="B2899" s="6" t="s">
        <v>9</v>
      </c>
      <c r="C2899" s="7">
        <v>1882</v>
      </c>
      <c r="D2899" s="8">
        <v>45388</v>
      </c>
      <c r="E2899" s="9" t="str">
        <f>+HYPERLINK("http://trademark.i-assist.jp/data/china/image_1882th/76453085.pdf","76453085")</f>
        <v>76453085</v>
      </c>
      <c r="F2899" s="6" t="s">
        <v>7915</v>
      </c>
      <c r="G2899" s="6" t="s">
        <v>7916</v>
      </c>
      <c r="H2899" s="8" t="s">
        <v>7917</v>
      </c>
      <c r="I2899" s="14">
        <v>45308</v>
      </c>
    </row>
    <row r="2900" spans="1:9" x14ac:dyDescent="0.15">
      <c r="A2900" s="5">
        <v>2899</v>
      </c>
      <c r="B2900" s="6" t="s">
        <v>9</v>
      </c>
      <c r="C2900" s="7">
        <v>1882</v>
      </c>
      <c r="D2900" s="8">
        <v>45388</v>
      </c>
      <c r="E2900" s="9" t="str">
        <f>+HYPERLINK("http://trademark.i-assist.jp/data/china/image_1882th/76453981.pdf","76453981")</f>
        <v>76453981</v>
      </c>
      <c r="F2900" s="6" t="s">
        <v>7918</v>
      </c>
      <c r="G2900" s="6" t="s">
        <v>7919</v>
      </c>
      <c r="H2900" s="8" t="s">
        <v>7920</v>
      </c>
      <c r="I2900" s="14">
        <v>45308</v>
      </c>
    </row>
    <row r="2901" spans="1:9" x14ac:dyDescent="0.15">
      <c r="A2901" s="5">
        <v>2900</v>
      </c>
      <c r="B2901" s="6" t="s">
        <v>9</v>
      </c>
      <c r="C2901" s="7">
        <v>1882</v>
      </c>
      <c r="D2901" s="8">
        <v>45388</v>
      </c>
      <c r="E2901" s="9" t="str">
        <f>+HYPERLINK("http://trademark.i-assist.jp/data/china/image_1882th/76454335.pdf","76454335")</f>
        <v>76454335</v>
      </c>
      <c r="F2901" s="6" t="s">
        <v>7921</v>
      </c>
      <c r="G2901" s="6" t="s">
        <v>7785</v>
      </c>
      <c r="H2901" s="8" t="s">
        <v>7922</v>
      </c>
      <c r="I2901" s="14">
        <v>45308</v>
      </c>
    </row>
    <row r="2902" spans="1:9" x14ac:dyDescent="0.15">
      <c r="A2902" s="5">
        <v>2901</v>
      </c>
      <c r="B2902" s="6" t="s">
        <v>9</v>
      </c>
      <c r="C2902" s="7">
        <v>1882</v>
      </c>
      <c r="D2902" s="8">
        <v>45388</v>
      </c>
      <c r="E2902" s="9" t="str">
        <f>+HYPERLINK("http://trademark.i-assist.jp/data/china/image_1882th/76454515.pdf","76454515")</f>
        <v>76454515</v>
      </c>
      <c r="F2902" s="6" t="s">
        <v>7923</v>
      </c>
      <c r="G2902" s="6" t="s">
        <v>7898</v>
      </c>
      <c r="H2902" s="8" t="s">
        <v>7924</v>
      </c>
      <c r="I2902" s="14">
        <v>45308</v>
      </c>
    </row>
    <row r="2903" spans="1:9" x14ac:dyDescent="0.15">
      <c r="A2903" s="5">
        <v>2902</v>
      </c>
      <c r="B2903" s="6" t="s">
        <v>9</v>
      </c>
      <c r="C2903" s="7">
        <v>1882</v>
      </c>
      <c r="D2903" s="8">
        <v>45388</v>
      </c>
      <c r="E2903" s="9" t="str">
        <f>+HYPERLINK("http://trademark.i-assist.jp/data/china/image_1882th/76454641.pdf","76454641")</f>
        <v>76454641</v>
      </c>
      <c r="F2903" s="6" t="s">
        <v>7925</v>
      </c>
      <c r="G2903" s="6" t="s">
        <v>7906</v>
      </c>
      <c r="H2903" s="8" t="s">
        <v>7926</v>
      </c>
      <c r="I2903" s="14">
        <v>45308</v>
      </c>
    </row>
    <row r="2904" spans="1:9" x14ac:dyDescent="0.15">
      <c r="A2904" s="5">
        <v>2903</v>
      </c>
      <c r="B2904" s="6" t="s">
        <v>9</v>
      </c>
      <c r="C2904" s="7">
        <v>1882</v>
      </c>
      <c r="D2904" s="8">
        <v>45388</v>
      </c>
      <c r="E2904" s="9" t="str">
        <f>+HYPERLINK("http://trademark.i-assist.jp/data/china/image_1882th/76454980.pdf","76454980")</f>
        <v>76454980</v>
      </c>
      <c r="F2904" s="6" t="s">
        <v>7927</v>
      </c>
      <c r="G2904" s="6" t="s">
        <v>7928</v>
      </c>
      <c r="H2904" s="8" t="s">
        <v>7929</v>
      </c>
      <c r="I2904" s="14">
        <v>45308</v>
      </c>
    </row>
    <row r="2905" spans="1:9" x14ac:dyDescent="0.15">
      <c r="A2905" s="5">
        <v>2904</v>
      </c>
      <c r="B2905" s="6" t="s">
        <v>9</v>
      </c>
      <c r="C2905" s="7">
        <v>1882</v>
      </c>
      <c r="D2905" s="8">
        <v>45388</v>
      </c>
      <c r="E2905" s="9" t="str">
        <f>+HYPERLINK("http://trademark.i-assist.jp/data/china/image_1882th/76455016.pdf","76455016")</f>
        <v>76455016</v>
      </c>
      <c r="F2905" s="6" t="s">
        <v>7930</v>
      </c>
      <c r="G2905" s="6" t="s">
        <v>7837</v>
      </c>
      <c r="H2905" s="8" t="s">
        <v>7931</v>
      </c>
      <c r="I2905" s="14">
        <v>45308</v>
      </c>
    </row>
    <row r="2906" spans="1:9" x14ac:dyDescent="0.15">
      <c r="A2906" s="5">
        <v>2905</v>
      </c>
      <c r="B2906" s="6" t="s">
        <v>9</v>
      </c>
      <c r="C2906" s="7">
        <v>1882</v>
      </c>
      <c r="D2906" s="8">
        <v>45388</v>
      </c>
      <c r="E2906" s="9" t="str">
        <f>+HYPERLINK("http://trademark.i-assist.jp/data/china/image_1882th/76455397.pdf","76455397")</f>
        <v>76455397</v>
      </c>
      <c r="F2906" s="6" t="s">
        <v>7932</v>
      </c>
      <c r="G2906" s="6" t="s">
        <v>7933</v>
      </c>
      <c r="H2906" s="8" t="s">
        <v>7934</v>
      </c>
      <c r="I2906" s="14">
        <v>45308</v>
      </c>
    </row>
    <row r="2907" spans="1:9" x14ac:dyDescent="0.15">
      <c r="A2907" s="5">
        <v>2906</v>
      </c>
      <c r="B2907" s="6" t="s">
        <v>9</v>
      </c>
      <c r="C2907" s="7">
        <v>1882</v>
      </c>
      <c r="D2907" s="8">
        <v>45388</v>
      </c>
      <c r="E2907" s="9" t="str">
        <f>+HYPERLINK("http://trademark.i-assist.jp/data/china/image_1882th/76455508.pdf","76455508")</f>
        <v>76455508</v>
      </c>
      <c r="F2907" s="6" t="s">
        <v>7935</v>
      </c>
      <c r="G2907" s="6" t="s">
        <v>7870</v>
      </c>
      <c r="H2907" s="8" t="s">
        <v>7936</v>
      </c>
      <c r="I2907" s="14">
        <v>45308</v>
      </c>
    </row>
    <row r="2908" spans="1:9" x14ac:dyDescent="0.15">
      <c r="A2908" s="5">
        <v>2907</v>
      </c>
      <c r="B2908" s="6" t="s">
        <v>9</v>
      </c>
      <c r="C2908" s="7">
        <v>1882</v>
      </c>
      <c r="D2908" s="8">
        <v>45388</v>
      </c>
      <c r="E2908" s="9" t="str">
        <f>+HYPERLINK("http://trademark.i-assist.jp/data/china/image_1882th/76455789.pdf","76455789")</f>
        <v>76455789</v>
      </c>
      <c r="F2908" s="6" t="s">
        <v>7937</v>
      </c>
      <c r="G2908" s="6" t="s">
        <v>7878</v>
      </c>
      <c r="H2908" s="8" t="s">
        <v>7938</v>
      </c>
      <c r="I2908" s="14">
        <v>45308</v>
      </c>
    </row>
    <row r="2909" spans="1:9" x14ac:dyDescent="0.15">
      <c r="A2909" s="5">
        <v>2908</v>
      </c>
      <c r="B2909" s="6" t="s">
        <v>9</v>
      </c>
      <c r="C2909" s="7">
        <v>1882</v>
      </c>
      <c r="D2909" s="8">
        <v>45388</v>
      </c>
      <c r="E2909" s="9" t="str">
        <f>+HYPERLINK("http://trademark.i-assist.jp/data/china/image_1882th/76456598.pdf","76456598")</f>
        <v>76456598</v>
      </c>
      <c r="F2909" s="6" t="s">
        <v>7939</v>
      </c>
      <c r="G2909" s="6" t="s">
        <v>7940</v>
      </c>
      <c r="H2909" s="8" t="s">
        <v>7941</v>
      </c>
      <c r="I2909" s="14">
        <v>45308</v>
      </c>
    </row>
    <row r="2910" spans="1:9" x14ac:dyDescent="0.15">
      <c r="A2910" s="5">
        <v>2909</v>
      </c>
      <c r="B2910" s="6" t="s">
        <v>9</v>
      </c>
      <c r="C2910" s="7">
        <v>1882</v>
      </c>
      <c r="D2910" s="8">
        <v>45388</v>
      </c>
      <c r="E2910" s="9" t="str">
        <f>+HYPERLINK("http://trademark.i-assist.jp/data/china/image_1882th/76456606.pdf","76456606")</f>
        <v>76456606</v>
      </c>
      <c r="F2910" s="6" t="s">
        <v>7942</v>
      </c>
      <c r="G2910" s="6" t="s">
        <v>7943</v>
      </c>
      <c r="H2910" s="8" t="s">
        <v>7944</v>
      </c>
      <c r="I2910" s="14">
        <v>45308</v>
      </c>
    </row>
    <row r="2911" spans="1:9" x14ac:dyDescent="0.15">
      <c r="A2911" s="5">
        <v>2910</v>
      </c>
      <c r="B2911" s="6" t="s">
        <v>9</v>
      </c>
      <c r="C2911" s="7">
        <v>1882</v>
      </c>
      <c r="D2911" s="8">
        <v>45388</v>
      </c>
      <c r="E2911" s="9" t="str">
        <f>+HYPERLINK("http://trademark.i-assist.jp/data/china/image_1882th/76457051.pdf","76457051")</f>
        <v>76457051</v>
      </c>
      <c r="F2911" s="6" t="s">
        <v>7945</v>
      </c>
      <c r="G2911" s="6" t="s">
        <v>7946</v>
      </c>
      <c r="H2911" s="8" t="s">
        <v>7947</v>
      </c>
      <c r="I2911" s="14">
        <v>45308</v>
      </c>
    </row>
    <row r="2912" spans="1:9" x14ac:dyDescent="0.15">
      <c r="A2912" s="5">
        <v>2911</v>
      </c>
      <c r="B2912" s="6" t="s">
        <v>9</v>
      </c>
      <c r="C2912" s="7">
        <v>1882</v>
      </c>
      <c r="D2912" s="8">
        <v>45388</v>
      </c>
      <c r="E2912" s="9" t="str">
        <f>+HYPERLINK("http://trademark.i-assist.jp/data/china/image_1882th/76457183.pdf","76457183")</f>
        <v>76457183</v>
      </c>
      <c r="F2912" s="6" t="s">
        <v>7948</v>
      </c>
      <c r="G2912" s="6" t="s">
        <v>7870</v>
      </c>
      <c r="H2912" s="8" t="s">
        <v>7949</v>
      </c>
      <c r="I2912" s="14">
        <v>45308</v>
      </c>
    </row>
    <row r="2913" spans="1:9" x14ac:dyDescent="0.15">
      <c r="A2913" s="5">
        <v>2912</v>
      </c>
      <c r="B2913" s="6" t="s">
        <v>9</v>
      </c>
      <c r="C2913" s="7">
        <v>1882</v>
      </c>
      <c r="D2913" s="8">
        <v>45388</v>
      </c>
      <c r="E2913" s="9" t="str">
        <f>+HYPERLINK("http://trademark.i-assist.jp/data/china/image_1882th/76457851.pdf","76457851")</f>
        <v>76457851</v>
      </c>
      <c r="F2913" s="6" t="s">
        <v>7950</v>
      </c>
      <c r="G2913" s="6" t="s">
        <v>7951</v>
      </c>
      <c r="H2913" s="8" t="s">
        <v>7952</v>
      </c>
      <c r="I2913" s="14">
        <v>45308</v>
      </c>
    </row>
    <row r="2914" spans="1:9" x14ac:dyDescent="0.15">
      <c r="A2914" s="5">
        <v>2913</v>
      </c>
      <c r="B2914" s="6" t="s">
        <v>9</v>
      </c>
      <c r="C2914" s="7">
        <v>1882</v>
      </c>
      <c r="D2914" s="8">
        <v>45388</v>
      </c>
      <c r="E2914" s="9" t="str">
        <f>+HYPERLINK("http://trademark.i-assist.jp/data/china/image_1882th/76457880.pdf","76457880")</f>
        <v>76457880</v>
      </c>
      <c r="F2914" s="6" t="s">
        <v>7953</v>
      </c>
      <c r="G2914" s="6" t="s">
        <v>6776</v>
      </c>
      <c r="H2914" s="8" t="s">
        <v>7954</v>
      </c>
      <c r="I2914" s="14">
        <v>45308</v>
      </c>
    </row>
    <row r="2915" spans="1:9" x14ac:dyDescent="0.15">
      <c r="A2915" s="5">
        <v>2914</v>
      </c>
      <c r="B2915" s="6" t="s">
        <v>9</v>
      </c>
      <c r="C2915" s="7">
        <v>1882</v>
      </c>
      <c r="D2915" s="8">
        <v>45388</v>
      </c>
      <c r="E2915" s="9" t="str">
        <f>+HYPERLINK("http://trademark.i-assist.jp/data/china/image_1882th/76457989.pdf","76457989")</f>
        <v>76457989</v>
      </c>
      <c r="F2915" s="6" t="s">
        <v>7955</v>
      </c>
      <c r="G2915" s="6" t="s">
        <v>7788</v>
      </c>
      <c r="H2915" s="8" t="s">
        <v>7956</v>
      </c>
      <c r="I2915" s="14">
        <v>45308</v>
      </c>
    </row>
    <row r="2916" spans="1:9" x14ac:dyDescent="0.15">
      <c r="A2916" s="5">
        <v>2915</v>
      </c>
      <c r="B2916" s="6" t="s">
        <v>9</v>
      </c>
      <c r="C2916" s="7">
        <v>1882</v>
      </c>
      <c r="D2916" s="8">
        <v>45388</v>
      </c>
      <c r="E2916" s="9" t="str">
        <f>+HYPERLINK("http://trademark.i-assist.jp/data/china/image_1882th/76458003.pdf","76458003")</f>
        <v>76458003</v>
      </c>
      <c r="F2916" s="6" t="s">
        <v>7957</v>
      </c>
      <c r="G2916" s="6" t="s">
        <v>7788</v>
      </c>
      <c r="H2916" s="8" t="s">
        <v>7958</v>
      </c>
      <c r="I2916" s="14">
        <v>45308</v>
      </c>
    </row>
    <row r="2917" spans="1:9" x14ac:dyDescent="0.15">
      <c r="A2917" s="5">
        <v>2916</v>
      </c>
      <c r="B2917" s="6" t="s">
        <v>9</v>
      </c>
      <c r="C2917" s="7">
        <v>1882</v>
      </c>
      <c r="D2917" s="8">
        <v>45388</v>
      </c>
      <c r="E2917" s="9" t="str">
        <f>+HYPERLINK("http://trademark.i-assist.jp/data/china/image_1882th/76459153.pdf","76459153")</f>
        <v>76459153</v>
      </c>
      <c r="F2917" s="6" t="s">
        <v>7959</v>
      </c>
      <c r="G2917" s="6" t="s">
        <v>7960</v>
      </c>
      <c r="H2917" s="8" t="s">
        <v>7961</v>
      </c>
      <c r="I2917" s="14">
        <v>45308</v>
      </c>
    </row>
    <row r="2918" spans="1:9" x14ac:dyDescent="0.15">
      <c r="A2918" s="5">
        <v>2917</v>
      </c>
      <c r="B2918" s="6" t="s">
        <v>9</v>
      </c>
      <c r="C2918" s="7">
        <v>1882</v>
      </c>
      <c r="D2918" s="8">
        <v>45388</v>
      </c>
      <c r="E2918" s="9" t="str">
        <f>+HYPERLINK("http://trademark.i-assist.jp/data/china/image_1882th/76459154.pdf","76459154")</f>
        <v>76459154</v>
      </c>
      <c r="F2918" s="6" t="s">
        <v>7962</v>
      </c>
      <c r="G2918" s="6" t="s">
        <v>7963</v>
      </c>
      <c r="H2918" s="8" t="s">
        <v>7964</v>
      </c>
      <c r="I2918" s="14">
        <v>45308</v>
      </c>
    </row>
    <row r="2919" spans="1:9" x14ac:dyDescent="0.15">
      <c r="A2919" s="5">
        <v>2918</v>
      </c>
      <c r="B2919" s="6" t="s">
        <v>9</v>
      </c>
      <c r="C2919" s="7">
        <v>1882</v>
      </c>
      <c r="D2919" s="8">
        <v>45388</v>
      </c>
      <c r="E2919" s="9" t="str">
        <f>+HYPERLINK("http://trademark.i-assist.jp/data/china/image_1882th/76459552.pdf","76459552")</f>
        <v>76459552</v>
      </c>
      <c r="F2919" s="6" t="s">
        <v>7965</v>
      </c>
      <c r="G2919" s="6" t="s">
        <v>7966</v>
      </c>
      <c r="H2919" s="8" t="s">
        <v>7967</v>
      </c>
      <c r="I2919" s="14">
        <v>45309</v>
      </c>
    </row>
    <row r="2920" spans="1:9" x14ac:dyDescent="0.15">
      <c r="A2920" s="5">
        <v>2919</v>
      </c>
      <c r="B2920" s="6" t="s">
        <v>9</v>
      </c>
      <c r="C2920" s="7">
        <v>1882</v>
      </c>
      <c r="D2920" s="8">
        <v>45388</v>
      </c>
      <c r="E2920" s="9" t="str">
        <f>+HYPERLINK("http://trademark.i-assist.jp/data/china/image_1882th/76459658.pdf","76459658")</f>
        <v>76459658</v>
      </c>
      <c r="F2920" s="6" t="s">
        <v>7968</v>
      </c>
      <c r="G2920" s="6" t="s">
        <v>7969</v>
      </c>
      <c r="H2920" s="8" t="s">
        <v>7970</v>
      </c>
      <c r="I2920" s="14">
        <v>45309</v>
      </c>
    </row>
    <row r="2921" spans="1:9" x14ac:dyDescent="0.15">
      <c r="A2921" s="5">
        <v>2920</v>
      </c>
      <c r="B2921" s="6" t="s">
        <v>9</v>
      </c>
      <c r="C2921" s="7">
        <v>1882</v>
      </c>
      <c r="D2921" s="8">
        <v>45388</v>
      </c>
      <c r="E2921" s="9" t="str">
        <f>+HYPERLINK("http://trademark.i-assist.jp/data/china/image_1882th/76459766.pdf","76459766")</f>
        <v>76459766</v>
      </c>
      <c r="F2921" s="6" t="s">
        <v>7971</v>
      </c>
      <c r="G2921" s="6" t="s">
        <v>7972</v>
      </c>
      <c r="H2921" s="8" t="s">
        <v>7973</v>
      </c>
      <c r="I2921" s="14">
        <v>45309</v>
      </c>
    </row>
    <row r="2922" spans="1:9" x14ac:dyDescent="0.15">
      <c r="A2922" s="5">
        <v>2921</v>
      </c>
      <c r="B2922" s="6" t="s">
        <v>9</v>
      </c>
      <c r="C2922" s="7">
        <v>1882</v>
      </c>
      <c r="D2922" s="8">
        <v>45388</v>
      </c>
      <c r="E2922" s="9" t="str">
        <f>+HYPERLINK("http://trademark.i-assist.jp/data/china/image_1882th/76460533.pdf","76460533")</f>
        <v>76460533</v>
      </c>
      <c r="F2922" s="6" t="s">
        <v>7974</v>
      </c>
      <c r="G2922" s="6" t="s">
        <v>7975</v>
      </c>
      <c r="H2922" s="8" t="s">
        <v>7976</v>
      </c>
      <c r="I2922" s="14">
        <v>45309</v>
      </c>
    </row>
    <row r="2923" spans="1:9" x14ac:dyDescent="0.15">
      <c r="A2923" s="5">
        <v>2922</v>
      </c>
      <c r="B2923" s="6" t="s">
        <v>9</v>
      </c>
      <c r="C2923" s="7">
        <v>1882</v>
      </c>
      <c r="D2923" s="8">
        <v>45388</v>
      </c>
      <c r="E2923" s="9" t="str">
        <f>+HYPERLINK("http://trademark.i-assist.jp/data/china/image_1882th/76460547.pdf","76460547")</f>
        <v>76460547</v>
      </c>
      <c r="F2923" s="6" t="s">
        <v>7977</v>
      </c>
      <c r="G2923" s="6" t="s">
        <v>7978</v>
      </c>
      <c r="H2923" s="8" t="s">
        <v>7979</v>
      </c>
      <c r="I2923" s="14">
        <v>45309</v>
      </c>
    </row>
    <row r="2924" spans="1:9" x14ac:dyDescent="0.15">
      <c r="A2924" s="5">
        <v>2923</v>
      </c>
      <c r="B2924" s="6" t="s">
        <v>9</v>
      </c>
      <c r="C2924" s="7">
        <v>1882</v>
      </c>
      <c r="D2924" s="8">
        <v>45388</v>
      </c>
      <c r="E2924" s="9" t="str">
        <f>+HYPERLINK("http://trademark.i-assist.jp/data/china/image_1882th/76460709.pdf","76460709")</f>
        <v>76460709</v>
      </c>
      <c r="F2924" s="6" t="s">
        <v>7980</v>
      </c>
      <c r="G2924" s="6" t="s">
        <v>7981</v>
      </c>
      <c r="H2924" s="8" t="s">
        <v>7982</v>
      </c>
      <c r="I2924" s="14">
        <v>45309</v>
      </c>
    </row>
    <row r="2925" spans="1:9" x14ac:dyDescent="0.15">
      <c r="A2925" s="5">
        <v>2924</v>
      </c>
      <c r="B2925" s="6" t="s">
        <v>9</v>
      </c>
      <c r="C2925" s="7">
        <v>1882</v>
      </c>
      <c r="D2925" s="8">
        <v>45388</v>
      </c>
      <c r="E2925" s="9" t="str">
        <f>+HYPERLINK("http://trademark.i-assist.jp/data/china/image_1882th/76461334.pdf","76461334")</f>
        <v>76461334</v>
      </c>
      <c r="F2925" s="6" t="s">
        <v>7983</v>
      </c>
      <c r="G2925" s="6" t="s">
        <v>7984</v>
      </c>
      <c r="H2925" s="8" t="s">
        <v>7985</v>
      </c>
      <c r="I2925" s="14">
        <v>45309</v>
      </c>
    </row>
    <row r="2926" spans="1:9" x14ac:dyDescent="0.15">
      <c r="A2926" s="5">
        <v>2925</v>
      </c>
      <c r="B2926" s="6" t="s">
        <v>9</v>
      </c>
      <c r="C2926" s="7">
        <v>1882</v>
      </c>
      <c r="D2926" s="8">
        <v>45388</v>
      </c>
      <c r="E2926" s="9" t="str">
        <f>+HYPERLINK("http://trademark.i-assist.jp/data/china/image_1882th/76461919.pdf","76461919")</f>
        <v>76461919</v>
      </c>
      <c r="F2926" s="6" t="s">
        <v>7986</v>
      </c>
      <c r="G2926" s="6" t="s">
        <v>7987</v>
      </c>
      <c r="H2926" s="8" t="s">
        <v>7988</v>
      </c>
      <c r="I2926" s="14">
        <v>45309</v>
      </c>
    </row>
    <row r="2927" spans="1:9" x14ac:dyDescent="0.15">
      <c r="A2927" s="5">
        <v>2926</v>
      </c>
      <c r="B2927" s="6" t="s">
        <v>9</v>
      </c>
      <c r="C2927" s="7">
        <v>1882</v>
      </c>
      <c r="D2927" s="8">
        <v>45388</v>
      </c>
      <c r="E2927" s="9" t="str">
        <f>+HYPERLINK("http://trademark.i-assist.jp/data/china/image_1882th/76461986.pdf","76461986")</f>
        <v>76461986</v>
      </c>
      <c r="F2927" s="6" t="s">
        <v>7989</v>
      </c>
      <c r="G2927" s="6" t="s">
        <v>7990</v>
      </c>
      <c r="H2927" s="8" t="s">
        <v>7991</v>
      </c>
      <c r="I2927" s="14">
        <v>45309</v>
      </c>
    </row>
    <row r="2928" spans="1:9" x14ac:dyDescent="0.15">
      <c r="A2928" s="5">
        <v>2927</v>
      </c>
      <c r="B2928" s="6" t="s">
        <v>9</v>
      </c>
      <c r="C2928" s="7">
        <v>1882</v>
      </c>
      <c r="D2928" s="8">
        <v>45388</v>
      </c>
      <c r="E2928" s="9" t="str">
        <f>+HYPERLINK("http://trademark.i-assist.jp/data/china/image_1882th/76462209.pdf","76462209")</f>
        <v>76462209</v>
      </c>
      <c r="F2928" s="6" t="s">
        <v>7992</v>
      </c>
      <c r="G2928" s="6" t="s">
        <v>7993</v>
      </c>
      <c r="H2928" s="8" t="s">
        <v>7994</v>
      </c>
      <c r="I2928" s="14">
        <v>45309</v>
      </c>
    </row>
    <row r="2929" spans="1:9" x14ac:dyDescent="0.15">
      <c r="A2929" s="5">
        <v>2928</v>
      </c>
      <c r="B2929" s="6" t="s">
        <v>9</v>
      </c>
      <c r="C2929" s="7">
        <v>1882</v>
      </c>
      <c r="D2929" s="8">
        <v>45388</v>
      </c>
      <c r="E2929" s="9" t="str">
        <f>+HYPERLINK("http://trademark.i-assist.jp/data/china/image_1882th/76462216.pdf","76462216")</f>
        <v>76462216</v>
      </c>
      <c r="F2929" s="6" t="s">
        <v>7995</v>
      </c>
      <c r="G2929" s="6" t="s">
        <v>7996</v>
      </c>
      <c r="H2929" s="8" t="s">
        <v>7997</v>
      </c>
      <c r="I2929" s="14">
        <v>45309</v>
      </c>
    </row>
    <row r="2930" spans="1:9" x14ac:dyDescent="0.15">
      <c r="A2930" s="5">
        <v>2929</v>
      </c>
      <c r="B2930" s="6" t="s">
        <v>9</v>
      </c>
      <c r="C2930" s="7">
        <v>1882</v>
      </c>
      <c r="D2930" s="8">
        <v>45388</v>
      </c>
      <c r="E2930" s="9" t="str">
        <f>+HYPERLINK("http://trademark.i-assist.jp/data/china/image_1882th/76462556.pdf","76462556")</f>
        <v>76462556</v>
      </c>
      <c r="F2930" s="6" t="s">
        <v>7998</v>
      </c>
      <c r="G2930" s="6" t="s">
        <v>7999</v>
      </c>
      <c r="H2930" s="8" t="s">
        <v>8000</v>
      </c>
      <c r="I2930" s="14">
        <v>45309</v>
      </c>
    </row>
    <row r="2931" spans="1:9" x14ac:dyDescent="0.15">
      <c r="A2931" s="5">
        <v>2930</v>
      </c>
      <c r="B2931" s="6" t="s">
        <v>9</v>
      </c>
      <c r="C2931" s="7">
        <v>1882</v>
      </c>
      <c r="D2931" s="8">
        <v>45388</v>
      </c>
      <c r="E2931" s="9" t="str">
        <f>+HYPERLINK("http://trademark.i-assist.jp/data/china/image_1882th/76462566.pdf","76462566")</f>
        <v>76462566</v>
      </c>
      <c r="F2931" s="6" t="s">
        <v>8001</v>
      </c>
      <c r="G2931" s="6" t="s">
        <v>8002</v>
      </c>
      <c r="H2931" s="8" t="s">
        <v>8003</v>
      </c>
      <c r="I2931" s="14">
        <v>45309</v>
      </c>
    </row>
    <row r="2932" spans="1:9" x14ac:dyDescent="0.15">
      <c r="A2932" s="5">
        <v>2931</v>
      </c>
      <c r="B2932" s="6" t="s">
        <v>9</v>
      </c>
      <c r="C2932" s="7">
        <v>1882</v>
      </c>
      <c r="D2932" s="8">
        <v>45388</v>
      </c>
      <c r="E2932" s="9" t="str">
        <f>+HYPERLINK("http://trademark.i-assist.jp/data/china/image_1882th/76463021.pdf","76463021")</f>
        <v>76463021</v>
      </c>
      <c r="F2932" s="6" t="s">
        <v>1736</v>
      </c>
      <c r="G2932" s="6" t="s">
        <v>1737</v>
      </c>
      <c r="H2932" s="8" t="s">
        <v>8004</v>
      </c>
      <c r="I2932" s="14">
        <v>45309</v>
      </c>
    </row>
    <row r="2933" spans="1:9" x14ac:dyDescent="0.15">
      <c r="A2933" s="5">
        <v>2932</v>
      </c>
      <c r="B2933" s="6" t="s">
        <v>9</v>
      </c>
      <c r="C2933" s="7">
        <v>1882</v>
      </c>
      <c r="D2933" s="8">
        <v>45388</v>
      </c>
      <c r="E2933" s="9" t="str">
        <f>+HYPERLINK("http://trademark.i-assist.jp/data/china/image_1882th/76464360.pdf","76464360")</f>
        <v>76464360</v>
      </c>
      <c r="F2933" s="6" t="s">
        <v>8005</v>
      </c>
      <c r="G2933" s="6" t="s">
        <v>8006</v>
      </c>
      <c r="H2933" s="8" t="s">
        <v>8007</v>
      </c>
      <c r="I2933" s="14">
        <v>45309</v>
      </c>
    </row>
    <row r="2934" spans="1:9" x14ac:dyDescent="0.15">
      <c r="A2934" s="5">
        <v>2933</v>
      </c>
      <c r="B2934" s="6" t="s">
        <v>9</v>
      </c>
      <c r="C2934" s="7">
        <v>1882</v>
      </c>
      <c r="D2934" s="8">
        <v>45388</v>
      </c>
      <c r="E2934" s="9" t="str">
        <f>+HYPERLINK("http://trademark.i-assist.jp/data/china/image_1882th/76464602.pdf","76464602")</f>
        <v>76464602</v>
      </c>
      <c r="F2934" s="6" t="s">
        <v>8008</v>
      </c>
      <c r="G2934" s="6" t="s">
        <v>8009</v>
      </c>
      <c r="H2934" s="8" t="s">
        <v>8010</v>
      </c>
      <c r="I2934" s="14">
        <v>45309</v>
      </c>
    </row>
    <row r="2935" spans="1:9" x14ac:dyDescent="0.15">
      <c r="A2935" s="5">
        <v>2934</v>
      </c>
      <c r="B2935" s="6" t="s">
        <v>9</v>
      </c>
      <c r="C2935" s="7">
        <v>1882</v>
      </c>
      <c r="D2935" s="8">
        <v>45388</v>
      </c>
      <c r="E2935" s="9" t="str">
        <f>+HYPERLINK("http://trademark.i-assist.jp/data/china/image_1882th/76464718.pdf","76464718")</f>
        <v>76464718</v>
      </c>
      <c r="F2935" s="6" t="s">
        <v>8011</v>
      </c>
      <c r="G2935" s="6" t="s">
        <v>1812</v>
      </c>
      <c r="H2935" s="8" t="s">
        <v>8012</v>
      </c>
      <c r="I2935" s="14">
        <v>45309</v>
      </c>
    </row>
    <row r="2936" spans="1:9" x14ac:dyDescent="0.15">
      <c r="A2936" s="5">
        <v>2935</v>
      </c>
      <c r="B2936" s="6" t="s">
        <v>9</v>
      </c>
      <c r="C2936" s="7">
        <v>1882</v>
      </c>
      <c r="D2936" s="8">
        <v>45388</v>
      </c>
      <c r="E2936" s="9" t="str">
        <f>+HYPERLINK("http://trademark.i-assist.jp/data/china/image_1882th/76464781.pdf","76464781")</f>
        <v>76464781</v>
      </c>
      <c r="F2936" s="6" t="s">
        <v>26</v>
      </c>
      <c r="G2936" s="6" t="s">
        <v>7963</v>
      </c>
      <c r="H2936" s="8" t="s">
        <v>8013</v>
      </c>
      <c r="I2936" s="14">
        <v>45309</v>
      </c>
    </row>
    <row r="2937" spans="1:9" x14ac:dyDescent="0.15">
      <c r="A2937" s="5">
        <v>2936</v>
      </c>
      <c r="B2937" s="6" t="s">
        <v>9</v>
      </c>
      <c r="C2937" s="7">
        <v>1882</v>
      </c>
      <c r="D2937" s="8">
        <v>45388</v>
      </c>
      <c r="E2937" s="9" t="str">
        <f>+HYPERLINK("http://trademark.i-assist.jp/data/china/image_1882th/76464846.pdf","76464846")</f>
        <v>76464846</v>
      </c>
      <c r="F2937" s="6" t="s">
        <v>26</v>
      </c>
      <c r="G2937" s="6" t="s">
        <v>8014</v>
      </c>
      <c r="H2937" s="8" t="s">
        <v>8015</v>
      </c>
      <c r="I2937" s="14">
        <v>45309</v>
      </c>
    </row>
    <row r="2938" spans="1:9" x14ac:dyDescent="0.15">
      <c r="A2938" s="5">
        <v>2937</v>
      </c>
      <c r="B2938" s="6" t="s">
        <v>9</v>
      </c>
      <c r="C2938" s="7">
        <v>1882</v>
      </c>
      <c r="D2938" s="8">
        <v>45388</v>
      </c>
      <c r="E2938" s="9" t="str">
        <f>+HYPERLINK("http://trademark.i-assist.jp/data/china/image_1882th/76465552.pdf","76465552")</f>
        <v>76465552</v>
      </c>
      <c r="F2938" s="6" t="s">
        <v>26</v>
      </c>
      <c r="G2938" s="6" t="s">
        <v>8014</v>
      </c>
      <c r="H2938" s="8" t="s">
        <v>8016</v>
      </c>
      <c r="I2938" s="14">
        <v>45309</v>
      </c>
    </row>
    <row r="2939" spans="1:9" x14ac:dyDescent="0.15">
      <c r="A2939" s="5">
        <v>2938</v>
      </c>
      <c r="B2939" s="6" t="s">
        <v>9</v>
      </c>
      <c r="C2939" s="7">
        <v>1882</v>
      </c>
      <c r="D2939" s="8">
        <v>45388</v>
      </c>
      <c r="E2939" s="9" t="str">
        <f>+HYPERLINK("http://trademark.i-assist.jp/data/china/image_1882th/76465622.pdf","76465622")</f>
        <v>76465622</v>
      </c>
      <c r="F2939" s="6" t="s">
        <v>26</v>
      </c>
      <c r="G2939" s="6" t="s">
        <v>8017</v>
      </c>
      <c r="H2939" s="8" t="s">
        <v>8018</v>
      </c>
      <c r="I2939" s="14">
        <v>45310</v>
      </c>
    </row>
    <row r="2940" spans="1:9" x14ac:dyDescent="0.15">
      <c r="A2940" s="5">
        <v>2939</v>
      </c>
      <c r="B2940" s="6" t="s">
        <v>9</v>
      </c>
      <c r="C2940" s="7">
        <v>1882</v>
      </c>
      <c r="D2940" s="8">
        <v>45388</v>
      </c>
      <c r="E2940" s="9" t="str">
        <f>+HYPERLINK("http://trademark.i-assist.jp/data/china/image_1882th/76465971.pdf","76465971")</f>
        <v>76465971</v>
      </c>
      <c r="F2940" s="6" t="s">
        <v>8019</v>
      </c>
      <c r="G2940" s="6" t="s">
        <v>7972</v>
      </c>
      <c r="H2940" s="8" t="s">
        <v>8020</v>
      </c>
      <c r="I2940" s="14">
        <v>45309</v>
      </c>
    </row>
    <row r="2941" spans="1:9" x14ac:dyDescent="0.15">
      <c r="A2941" s="5">
        <v>2940</v>
      </c>
      <c r="B2941" s="6" t="s">
        <v>9</v>
      </c>
      <c r="C2941" s="7">
        <v>1882</v>
      </c>
      <c r="D2941" s="8">
        <v>45388</v>
      </c>
      <c r="E2941" s="9" t="str">
        <f>+HYPERLINK("http://trademark.i-assist.jp/data/china/image_1882th/76466040.pdf","76466040")</f>
        <v>76466040</v>
      </c>
      <c r="F2941" s="6" t="s">
        <v>8021</v>
      </c>
      <c r="G2941" s="6" t="s">
        <v>8022</v>
      </c>
      <c r="H2941" s="8" t="s">
        <v>8023</v>
      </c>
      <c r="I2941" s="14">
        <v>45309</v>
      </c>
    </row>
    <row r="2942" spans="1:9" x14ac:dyDescent="0.15">
      <c r="A2942" s="5">
        <v>2941</v>
      </c>
      <c r="B2942" s="6" t="s">
        <v>9</v>
      </c>
      <c r="C2942" s="7">
        <v>1882</v>
      </c>
      <c r="D2942" s="8">
        <v>45388</v>
      </c>
      <c r="E2942" s="9" t="str">
        <f>+HYPERLINK("http://trademark.i-assist.jp/data/china/image_1882th/76466284.pdf","76466284")</f>
        <v>76466284</v>
      </c>
      <c r="F2942" s="6" t="s">
        <v>8024</v>
      </c>
      <c r="G2942" s="6" t="s">
        <v>8025</v>
      </c>
      <c r="H2942" s="8" t="s">
        <v>8026</v>
      </c>
      <c r="I2942" s="14">
        <v>45310</v>
      </c>
    </row>
    <row r="2943" spans="1:9" x14ac:dyDescent="0.15">
      <c r="A2943" s="5">
        <v>2942</v>
      </c>
      <c r="B2943" s="6" t="s">
        <v>9</v>
      </c>
      <c r="C2943" s="7">
        <v>1882</v>
      </c>
      <c r="D2943" s="8">
        <v>45388</v>
      </c>
      <c r="E2943" s="9" t="str">
        <f>+HYPERLINK("http://trademark.i-assist.jp/data/china/image_1882th/76466387.pdf","76466387")</f>
        <v>76466387</v>
      </c>
      <c r="F2943" s="6" t="s">
        <v>8027</v>
      </c>
      <c r="G2943" s="6" t="s">
        <v>8028</v>
      </c>
      <c r="H2943" s="8" t="s">
        <v>8029</v>
      </c>
      <c r="I2943" s="14">
        <v>45310</v>
      </c>
    </row>
    <row r="2944" spans="1:9" x14ac:dyDescent="0.15">
      <c r="A2944" s="5">
        <v>2943</v>
      </c>
      <c r="B2944" s="6" t="s">
        <v>9</v>
      </c>
      <c r="C2944" s="7">
        <v>1882</v>
      </c>
      <c r="D2944" s="8">
        <v>45388</v>
      </c>
      <c r="E2944" s="9" t="str">
        <f>+HYPERLINK("http://trademark.i-assist.jp/data/china/image_1882th/76466607.pdf","76466607")</f>
        <v>76466607</v>
      </c>
      <c r="F2944" s="6" t="s">
        <v>8030</v>
      </c>
      <c r="G2944" s="6" t="s">
        <v>8031</v>
      </c>
      <c r="H2944" s="8" t="s">
        <v>3390</v>
      </c>
      <c r="I2944" s="14">
        <v>45309</v>
      </c>
    </row>
    <row r="2945" spans="1:9" x14ac:dyDescent="0.15">
      <c r="A2945" s="5">
        <v>2944</v>
      </c>
      <c r="B2945" s="6" t="s">
        <v>9</v>
      </c>
      <c r="C2945" s="7">
        <v>1882</v>
      </c>
      <c r="D2945" s="8">
        <v>45388</v>
      </c>
      <c r="E2945" s="9" t="str">
        <f>+HYPERLINK("http://trademark.i-assist.jp/data/china/image_1882th/76466901.pdf","76466901")</f>
        <v>76466901</v>
      </c>
      <c r="F2945" s="6" t="s">
        <v>8032</v>
      </c>
      <c r="G2945" s="6" t="s">
        <v>8033</v>
      </c>
      <c r="H2945" s="8" t="s">
        <v>8034</v>
      </c>
      <c r="I2945" s="14">
        <v>45309</v>
      </c>
    </row>
    <row r="2946" spans="1:9" x14ac:dyDescent="0.15">
      <c r="A2946" s="5">
        <v>2945</v>
      </c>
      <c r="B2946" s="6" t="s">
        <v>9</v>
      </c>
      <c r="C2946" s="7">
        <v>1882</v>
      </c>
      <c r="D2946" s="8">
        <v>45388</v>
      </c>
      <c r="E2946" s="9" t="str">
        <f>+HYPERLINK("http://trademark.i-assist.jp/data/china/image_1882th/76466948.pdf","76466948")</f>
        <v>76466948</v>
      </c>
      <c r="F2946" s="6" t="s">
        <v>8035</v>
      </c>
      <c r="G2946" s="6" t="s">
        <v>7975</v>
      </c>
      <c r="H2946" s="8" t="s">
        <v>8036</v>
      </c>
      <c r="I2946" s="14">
        <v>45309</v>
      </c>
    </row>
    <row r="2947" spans="1:9" x14ac:dyDescent="0.15">
      <c r="A2947" s="5">
        <v>2946</v>
      </c>
      <c r="B2947" s="6" t="s">
        <v>9</v>
      </c>
      <c r="C2947" s="7">
        <v>1882</v>
      </c>
      <c r="D2947" s="8">
        <v>45388</v>
      </c>
      <c r="E2947" s="9" t="str">
        <f>+HYPERLINK("http://trademark.i-assist.jp/data/china/image_1882th/76467891.pdf","76467891")</f>
        <v>76467891</v>
      </c>
      <c r="F2947" s="6" t="s">
        <v>8037</v>
      </c>
      <c r="G2947" s="6" t="s">
        <v>8038</v>
      </c>
      <c r="H2947" s="8" t="s">
        <v>8039</v>
      </c>
      <c r="I2947" s="14">
        <v>45309</v>
      </c>
    </row>
    <row r="2948" spans="1:9" x14ac:dyDescent="0.15">
      <c r="A2948" s="5">
        <v>2947</v>
      </c>
      <c r="B2948" s="6" t="s">
        <v>9</v>
      </c>
      <c r="C2948" s="7">
        <v>1882</v>
      </c>
      <c r="D2948" s="8">
        <v>45388</v>
      </c>
      <c r="E2948" s="9" t="str">
        <f>+HYPERLINK("http://trademark.i-assist.jp/data/china/image_1882th/76468643.pdf","76468643")</f>
        <v>76468643</v>
      </c>
      <c r="F2948" s="6" t="s">
        <v>8040</v>
      </c>
      <c r="G2948" s="6" t="s">
        <v>8041</v>
      </c>
      <c r="H2948" s="8" t="s">
        <v>8042</v>
      </c>
      <c r="I2948" s="14">
        <v>45309</v>
      </c>
    </row>
    <row r="2949" spans="1:9" x14ac:dyDescent="0.15">
      <c r="A2949" s="5">
        <v>2948</v>
      </c>
      <c r="B2949" s="6" t="s">
        <v>9</v>
      </c>
      <c r="C2949" s="7">
        <v>1882</v>
      </c>
      <c r="D2949" s="8">
        <v>45388</v>
      </c>
      <c r="E2949" s="9" t="str">
        <f>+HYPERLINK("http://trademark.i-assist.jp/data/china/image_1882th/76468706.pdf","76468706")</f>
        <v>76468706</v>
      </c>
      <c r="F2949" s="6" t="s">
        <v>8043</v>
      </c>
      <c r="G2949" s="6" t="s">
        <v>8044</v>
      </c>
      <c r="H2949" s="8" t="s">
        <v>8045</v>
      </c>
      <c r="I2949" s="14">
        <v>45309</v>
      </c>
    </row>
    <row r="2950" spans="1:9" x14ac:dyDescent="0.15">
      <c r="A2950" s="5">
        <v>2949</v>
      </c>
      <c r="B2950" s="6" t="s">
        <v>9</v>
      </c>
      <c r="C2950" s="7">
        <v>1882</v>
      </c>
      <c r="D2950" s="8">
        <v>45388</v>
      </c>
      <c r="E2950" s="9" t="str">
        <f>+HYPERLINK("http://trademark.i-assist.jp/data/china/image_1882th/76469254.pdf","76469254")</f>
        <v>76469254</v>
      </c>
      <c r="F2950" s="6" t="s">
        <v>8046</v>
      </c>
      <c r="G2950" s="6" t="s">
        <v>8047</v>
      </c>
      <c r="H2950" s="8" t="s">
        <v>8048</v>
      </c>
      <c r="I2950" s="14">
        <v>45309</v>
      </c>
    </row>
    <row r="2951" spans="1:9" x14ac:dyDescent="0.15">
      <c r="A2951" s="5">
        <v>2950</v>
      </c>
      <c r="B2951" s="6" t="s">
        <v>9</v>
      </c>
      <c r="C2951" s="7">
        <v>1882</v>
      </c>
      <c r="D2951" s="8">
        <v>45388</v>
      </c>
      <c r="E2951" s="9" t="str">
        <f>+HYPERLINK("http://trademark.i-assist.jp/data/china/image_1882th/76469364.pdf","76469364")</f>
        <v>76469364</v>
      </c>
      <c r="F2951" s="6" t="s">
        <v>8049</v>
      </c>
      <c r="G2951" s="6" t="s">
        <v>8050</v>
      </c>
      <c r="H2951" s="8" t="s">
        <v>3390</v>
      </c>
      <c r="I2951" s="14">
        <v>45309</v>
      </c>
    </row>
    <row r="2952" spans="1:9" x14ac:dyDescent="0.15">
      <c r="A2952" s="5">
        <v>2951</v>
      </c>
      <c r="B2952" s="6" t="s">
        <v>9</v>
      </c>
      <c r="C2952" s="7">
        <v>1882</v>
      </c>
      <c r="D2952" s="8">
        <v>45388</v>
      </c>
      <c r="E2952" s="9" t="str">
        <f>+HYPERLINK("http://trademark.i-assist.jp/data/china/image_1882th/76469918.pdf","76469918")</f>
        <v>76469918</v>
      </c>
      <c r="F2952" s="6" t="s">
        <v>8051</v>
      </c>
      <c r="G2952" s="6" t="s">
        <v>8052</v>
      </c>
      <c r="H2952" s="8" t="s">
        <v>8053</v>
      </c>
      <c r="I2952" s="14">
        <v>45309</v>
      </c>
    </row>
    <row r="2953" spans="1:9" x14ac:dyDescent="0.15">
      <c r="A2953" s="5">
        <v>2952</v>
      </c>
      <c r="B2953" s="6" t="s">
        <v>9</v>
      </c>
      <c r="C2953" s="7">
        <v>1882</v>
      </c>
      <c r="D2953" s="8">
        <v>45388</v>
      </c>
      <c r="E2953" s="9" t="str">
        <f>+HYPERLINK("http://trademark.i-assist.jp/data/china/image_1882th/76470174.pdf","76470174")</f>
        <v>76470174</v>
      </c>
      <c r="F2953" s="6" t="s">
        <v>8054</v>
      </c>
      <c r="G2953" s="6" t="s">
        <v>8055</v>
      </c>
      <c r="H2953" s="8" t="s">
        <v>8056</v>
      </c>
      <c r="I2953" s="14">
        <v>45310</v>
      </c>
    </row>
    <row r="2954" spans="1:9" x14ac:dyDescent="0.15">
      <c r="A2954" s="5">
        <v>2953</v>
      </c>
      <c r="B2954" s="6" t="s">
        <v>9</v>
      </c>
      <c r="C2954" s="7">
        <v>1882</v>
      </c>
      <c r="D2954" s="8">
        <v>45388</v>
      </c>
      <c r="E2954" s="9" t="str">
        <f>+HYPERLINK("http://trademark.i-assist.jp/data/china/image_1882th/76470413.pdf","76470413")</f>
        <v>76470413</v>
      </c>
      <c r="F2954" s="6" t="s">
        <v>8057</v>
      </c>
      <c r="G2954" s="6" t="s">
        <v>8058</v>
      </c>
      <c r="H2954" s="8" t="s">
        <v>8059</v>
      </c>
      <c r="I2954" s="14">
        <v>45310</v>
      </c>
    </row>
    <row r="2955" spans="1:9" x14ac:dyDescent="0.15">
      <c r="A2955" s="5">
        <v>2954</v>
      </c>
      <c r="B2955" s="6" t="s">
        <v>9</v>
      </c>
      <c r="C2955" s="7">
        <v>1882</v>
      </c>
      <c r="D2955" s="8">
        <v>45388</v>
      </c>
      <c r="E2955" s="9" t="str">
        <f>+HYPERLINK("http://trademark.i-assist.jp/data/china/image_1882th/76470896.pdf","76470896")</f>
        <v>76470896</v>
      </c>
      <c r="F2955" s="6" t="s">
        <v>8060</v>
      </c>
      <c r="G2955" s="6" t="s">
        <v>8061</v>
      </c>
      <c r="H2955" s="8" t="s">
        <v>8062</v>
      </c>
      <c r="I2955" s="14">
        <v>45310</v>
      </c>
    </row>
    <row r="2956" spans="1:9" x14ac:dyDescent="0.15">
      <c r="A2956" s="5">
        <v>2955</v>
      </c>
      <c r="B2956" s="6" t="s">
        <v>9</v>
      </c>
      <c r="C2956" s="7">
        <v>1882</v>
      </c>
      <c r="D2956" s="8">
        <v>45388</v>
      </c>
      <c r="E2956" s="9" t="str">
        <f>+HYPERLINK("http://trademark.i-assist.jp/data/china/image_1882th/76471105.pdf","76471105")</f>
        <v>76471105</v>
      </c>
      <c r="F2956" s="6" t="s">
        <v>8063</v>
      </c>
      <c r="G2956" s="6" t="s">
        <v>8064</v>
      </c>
      <c r="H2956" s="8" t="s">
        <v>8065</v>
      </c>
      <c r="I2956" s="14">
        <v>45309</v>
      </c>
    </row>
    <row r="2957" spans="1:9" x14ac:dyDescent="0.15">
      <c r="A2957" s="5">
        <v>2956</v>
      </c>
      <c r="B2957" s="6" t="s">
        <v>9</v>
      </c>
      <c r="C2957" s="7">
        <v>1882</v>
      </c>
      <c r="D2957" s="8">
        <v>45388</v>
      </c>
      <c r="E2957" s="9" t="str">
        <f>+HYPERLINK("http://trademark.i-assist.jp/data/china/image_1882th/76471166.pdf","76471166")</f>
        <v>76471166</v>
      </c>
      <c r="F2957" s="6" t="s">
        <v>8066</v>
      </c>
      <c r="G2957" s="6" t="s">
        <v>8067</v>
      </c>
      <c r="H2957" s="8" t="s">
        <v>8068</v>
      </c>
      <c r="I2957" s="14">
        <v>45309</v>
      </c>
    </row>
    <row r="2958" spans="1:9" x14ac:dyDescent="0.15">
      <c r="A2958" s="5">
        <v>2957</v>
      </c>
      <c r="B2958" s="6" t="s">
        <v>9</v>
      </c>
      <c r="C2958" s="7">
        <v>1882</v>
      </c>
      <c r="D2958" s="8">
        <v>45388</v>
      </c>
      <c r="E2958" s="9" t="str">
        <f>+HYPERLINK("http://trademark.i-assist.jp/data/china/image_1882th/76471344.pdf","76471344")</f>
        <v>76471344</v>
      </c>
      <c r="F2958" s="6" t="s">
        <v>8069</v>
      </c>
      <c r="G2958" s="6" t="s">
        <v>8070</v>
      </c>
      <c r="H2958" s="8" t="s">
        <v>8071</v>
      </c>
      <c r="I2958" s="14">
        <v>45309</v>
      </c>
    </row>
    <row r="2959" spans="1:9" x14ac:dyDescent="0.15">
      <c r="A2959" s="5">
        <v>2958</v>
      </c>
      <c r="B2959" s="6" t="s">
        <v>9</v>
      </c>
      <c r="C2959" s="7">
        <v>1882</v>
      </c>
      <c r="D2959" s="8">
        <v>45388</v>
      </c>
      <c r="E2959" s="9" t="str">
        <f>+HYPERLINK("http://trademark.i-assist.jp/data/china/image_1882th/76471718.pdf","76471718")</f>
        <v>76471718</v>
      </c>
      <c r="F2959" s="6" t="s">
        <v>8072</v>
      </c>
      <c r="G2959" s="6" t="s">
        <v>8073</v>
      </c>
      <c r="H2959" s="8" t="s">
        <v>8074</v>
      </c>
      <c r="I2959" s="14">
        <v>45309</v>
      </c>
    </row>
    <row r="2960" spans="1:9" x14ac:dyDescent="0.15">
      <c r="A2960" s="5">
        <v>2959</v>
      </c>
      <c r="B2960" s="6" t="s">
        <v>9</v>
      </c>
      <c r="C2960" s="7">
        <v>1882</v>
      </c>
      <c r="D2960" s="8">
        <v>45388</v>
      </c>
      <c r="E2960" s="9" t="str">
        <f>+HYPERLINK("http://trademark.i-assist.jp/data/china/image_1882th/76472058.pdf","76472058")</f>
        <v>76472058</v>
      </c>
      <c r="F2960" s="6" t="s">
        <v>8075</v>
      </c>
      <c r="G2960" s="6" t="s">
        <v>8076</v>
      </c>
      <c r="H2960" s="8" t="s">
        <v>8077</v>
      </c>
      <c r="I2960" s="14">
        <v>45310</v>
      </c>
    </row>
    <row r="2961" spans="1:9" x14ac:dyDescent="0.15">
      <c r="A2961" s="5">
        <v>2960</v>
      </c>
      <c r="B2961" s="6" t="s">
        <v>9</v>
      </c>
      <c r="C2961" s="7">
        <v>1882</v>
      </c>
      <c r="D2961" s="8">
        <v>45388</v>
      </c>
      <c r="E2961" s="9" t="str">
        <f>+HYPERLINK("http://trademark.i-assist.jp/data/china/image_1882th/76472391.pdf","76472391")</f>
        <v>76472391</v>
      </c>
      <c r="F2961" s="6" t="s">
        <v>8078</v>
      </c>
      <c r="G2961" s="6" t="s">
        <v>8079</v>
      </c>
      <c r="H2961" s="8" t="s">
        <v>8080</v>
      </c>
      <c r="I2961" s="14">
        <v>45310</v>
      </c>
    </row>
    <row r="2962" spans="1:9" x14ac:dyDescent="0.15">
      <c r="A2962" s="5">
        <v>2961</v>
      </c>
      <c r="B2962" s="6" t="s">
        <v>9</v>
      </c>
      <c r="C2962" s="7">
        <v>1882</v>
      </c>
      <c r="D2962" s="8">
        <v>45388</v>
      </c>
      <c r="E2962" s="9" t="str">
        <f>+HYPERLINK("http://trademark.i-assist.jp/data/china/image_1882th/76472610.pdf","76472610")</f>
        <v>76472610</v>
      </c>
      <c r="F2962" s="6" t="s">
        <v>8081</v>
      </c>
      <c r="G2962" s="6" t="s">
        <v>8082</v>
      </c>
      <c r="H2962" s="8" t="s">
        <v>8083</v>
      </c>
      <c r="I2962" s="14">
        <v>45309</v>
      </c>
    </row>
    <row r="2963" spans="1:9" x14ac:dyDescent="0.15">
      <c r="A2963" s="5">
        <v>2962</v>
      </c>
      <c r="B2963" s="6" t="s">
        <v>9</v>
      </c>
      <c r="C2963" s="7">
        <v>1882</v>
      </c>
      <c r="D2963" s="8">
        <v>45388</v>
      </c>
      <c r="E2963" s="9" t="str">
        <f>+HYPERLINK("http://trademark.i-assist.jp/data/china/image_1882th/76472691.pdf","76472691")</f>
        <v>76472691</v>
      </c>
      <c r="F2963" s="6" t="s">
        <v>8084</v>
      </c>
      <c r="G2963" s="6" t="s">
        <v>8085</v>
      </c>
      <c r="H2963" s="8" t="s">
        <v>8086</v>
      </c>
      <c r="I2963" s="14">
        <v>45309</v>
      </c>
    </row>
    <row r="2964" spans="1:9" x14ac:dyDescent="0.15">
      <c r="A2964" s="5">
        <v>2963</v>
      </c>
      <c r="B2964" s="6" t="s">
        <v>9</v>
      </c>
      <c r="C2964" s="7">
        <v>1882</v>
      </c>
      <c r="D2964" s="8">
        <v>45388</v>
      </c>
      <c r="E2964" s="9" t="str">
        <f>+HYPERLINK("http://trademark.i-assist.jp/data/china/image_1882th/76472765.pdf","76472765")</f>
        <v>76472765</v>
      </c>
      <c r="F2964" s="6" t="s">
        <v>8087</v>
      </c>
      <c r="G2964" s="6" t="s">
        <v>8088</v>
      </c>
      <c r="H2964" s="8" t="s">
        <v>8089</v>
      </c>
      <c r="I2964" s="14">
        <v>45310</v>
      </c>
    </row>
    <row r="2965" spans="1:9" x14ac:dyDescent="0.15">
      <c r="A2965" s="5">
        <v>2964</v>
      </c>
      <c r="B2965" s="6" t="s">
        <v>9</v>
      </c>
      <c r="C2965" s="7">
        <v>1882</v>
      </c>
      <c r="D2965" s="8">
        <v>45388</v>
      </c>
      <c r="E2965" s="9" t="str">
        <f>+HYPERLINK("http://trademark.i-assist.jp/data/china/image_1882th/76472815.pdf","76472815")</f>
        <v>76472815</v>
      </c>
      <c r="F2965" s="6" t="s">
        <v>8090</v>
      </c>
      <c r="G2965" s="6" t="s">
        <v>8091</v>
      </c>
      <c r="H2965" s="8" t="s">
        <v>8092</v>
      </c>
      <c r="I2965" s="14">
        <v>45310</v>
      </c>
    </row>
    <row r="2966" spans="1:9" x14ac:dyDescent="0.15">
      <c r="A2966" s="5">
        <v>2965</v>
      </c>
      <c r="B2966" s="6" t="s">
        <v>9</v>
      </c>
      <c r="C2966" s="7">
        <v>1882</v>
      </c>
      <c r="D2966" s="8">
        <v>45388</v>
      </c>
      <c r="E2966" s="9" t="str">
        <f>+HYPERLINK("http://trademark.i-assist.jp/data/china/image_1882th/76473287.pdf","76473287")</f>
        <v>76473287</v>
      </c>
      <c r="F2966" s="6" t="s">
        <v>8093</v>
      </c>
      <c r="G2966" s="6" t="s">
        <v>8094</v>
      </c>
      <c r="H2966" s="8" t="s">
        <v>8095</v>
      </c>
      <c r="I2966" s="14">
        <v>45309</v>
      </c>
    </row>
    <row r="2967" spans="1:9" x14ac:dyDescent="0.15">
      <c r="A2967" s="5">
        <v>2966</v>
      </c>
      <c r="B2967" s="6" t="s">
        <v>9</v>
      </c>
      <c r="C2967" s="7">
        <v>1882</v>
      </c>
      <c r="D2967" s="8">
        <v>45388</v>
      </c>
      <c r="E2967" s="9" t="str">
        <f>+HYPERLINK("http://trademark.i-assist.jp/data/china/image_1882th/76473327.pdf","76473327")</f>
        <v>76473327</v>
      </c>
      <c r="F2967" s="6" t="s">
        <v>8096</v>
      </c>
      <c r="G2967" s="6" t="s">
        <v>8097</v>
      </c>
      <c r="H2967" s="8" t="s">
        <v>8098</v>
      </c>
      <c r="I2967" s="14">
        <v>45309</v>
      </c>
    </row>
    <row r="2968" spans="1:9" x14ac:dyDescent="0.15">
      <c r="A2968" s="5">
        <v>2967</v>
      </c>
      <c r="B2968" s="6" t="s">
        <v>9</v>
      </c>
      <c r="C2968" s="7">
        <v>1882</v>
      </c>
      <c r="D2968" s="8">
        <v>45388</v>
      </c>
      <c r="E2968" s="9" t="str">
        <f>+HYPERLINK("http://trademark.i-assist.jp/data/china/image_1882th/76473801.pdf","76473801")</f>
        <v>76473801</v>
      </c>
      <c r="F2968" s="6" t="s">
        <v>8099</v>
      </c>
      <c r="G2968" s="6" t="s">
        <v>8100</v>
      </c>
      <c r="H2968" s="8" t="s">
        <v>8101</v>
      </c>
      <c r="I2968" s="14">
        <v>45310</v>
      </c>
    </row>
    <row r="2969" spans="1:9" x14ac:dyDescent="0.15">
      <c r="A2969" s="5">
        <v>2968</v>
      </c>
      <c r="B2969" s="6" t="s">
        <v>9</v>
      </c>
      <c r="C2969" s="7">
        <v>1882</v>
      </c>
      <c r="D2969" s="8">
        <v>45388</v>
      </c>
      <c r="E2969" s="9" t="str">
        <f>+HYPERLINK("http://trademark.i-assist.jp/data/china/image_1882th/76474286.pdf","76474286")</f>
        <v>76474286</v>
      </c>
      <c r="F2969" s="6" t="s">
        <v>8102</v>
      </c>
      <c r="G2969" s="6" t="s">
        <v>8103</v>
      </c>
      <c r="H2969" s="8" t="s">
        <v>8104</v>
      </c>
      <c r="I2969" s="14">
        <v>45310</v>
      </c>
    </row>
    <row r="2970" spans="1:9" x14ac:dyDescent="0.15">
      <c r="A2970" s="5">
        <v>2969</v>
      </c>
      <c r="B2970" s="6" t="s">
        <v>9</v>
      </c>
      <c r="C2970" s="7">
        <v>1882</v>
      </c>
      <c r="D2970" s="8">
        <v>45388</v>
      </c>
      <c r="E2970" s="9" t="str">
        <f>+HYPERLINK("http://trademark.i-assist.jp/data/china/image_1882th/76474411.pdf","76474411")</f>
        <v>76474411</v>
      </c>
      <c r="F2970" s="6" t="s">
        <v>8105</v>
      </c>
      <c r="G2970" s="6" t="s">
        <v>8031</v>
      </c>
      <c r="H2970" s="8" t="s">
        <v>3390</v>
      </c>
      <c r="I2970" s="14">
        <v>45309</v>
      </c>
    </row>
    <row r="2971" spans="1:9" x14ac:dyDescent="0.15">
      <c r="A2971" s="5">
        <v>2970</v>
      </c>
      <c r="B2971" s="6" t="s">
        <v>9</v>
      </c>
      <c r="C2971" s="7">
        <v>1882</v>
      </c>
      <c r="D2971" s="8">
        <v>45388</v>
      </c>
      <c r="E2971" s="9" t="str">
        <f>+HYPERLINK("http://trademark.i-assist.jp/data/china/image_1882th/76474515.pdf","76474515")</f>
        <v>76474515</v>
      </c>
      <c r="F2971" s="6" t="s">
        <v>8106</v>
      </c>
      <c r="G2971" s="6" t="s">
        <v>8107</v>
      </c>
      <c r="H2971" s="8" t="s">
        <v>8108</v>
      </c>
      <c r="I2971" s="14">
        <v>45309</v>
      </c>
    </row>
    <row r="2972" spans="1:9" x14ac:dyDescent="0.15">
      <c r="A2972" s="5">
        <v>2971</v>
      </c>
      <c r="B2972" s="6" t="s">
        <v>9</v>
      </c>
      <c r="C2972" s="7">
        <v>1882</v>
      </c>
      <c r="D2972" s="8">
        <v>45388</v>
      </c>
      <c r="E2972" s="9" t="str">
        <f>+HYPERLINK("http://trademark.i-assist.jp/data/china/image_1882th/76474695.pdf","76474695")</f>
        <v>76474695</v>
      </c>
      <c r="F2972" s="6" t="s">
        <v>8109</v>
      </c>
      <c r="G2972" s="6" t="s">
        <v>8028</v>
      </c>
      <c r="H2972" s="8" t="s">
        <v>8110</v>
      </c>
      <c r="I2972" s="14">
        <v>45310</v>
      </c>
    </row>
    <row r="2973" spans="1:9" x14ac:dyDescent="0.15">
      <c r="A2973" s="5">
        <v>2972</v>
      </c>
      <c r="B2973" s="6" t="s">
        <v>9</v>
      </c>
      <c r="C2973" s="7">
        <v>1882</v>
      </c>
      <c r="D2973" s="8">
        <v>45388</v>
      </c>
      <c r="E2973" s="9" t="str">
        <f>+HYPERLINK("http://trademark.i-assist.jp/data/china/image_1882th/76475257.pdf","76475257")</f>
        <v>76475257</v>
      </c>
      <c r="F2973" s="6" t="s">
        <v>8111</v>
      </c>
      <c r="G2973" s="6" t="s">
        <v>615</v>
      </c>
      <c r="H2973" s="8" t="s">
        <v>8112</v>
      </c>
      <c r="I2973" s="14">
        <v>45310</v>
      </c>
    </row>
    <row r="2974" spans="1:9" x14ac:dyDescent="0.15">
      <c r="A2974" s="5">
        <v>2973</v>
      </c>
      <c r="B2974" s="6" t="s">
        <v>9</v>
      </c>
      <c r="C2974" s="7">
        <v>1882</v>
      </c>
      <c r="D2974" s="8">
        <v>45388</v>
      </c>
      <c r="E2974" s="9" t="str">
        <f>+HYPERLINK("http://trademark.i-assist.jp/data/china/image_1882th/76475547.pdf","76475547")</f>
        <v>76475547</v>
      </c>
      <c r="F2974" s="6" t="s">
        <v>8113</v>
      </c>
      <c r="G2974" s="6" t="s">
        <v>615</v>
      </c>
      <c r="H2974" s="8" t="s">
        <v>8114</v>
      </c>
      <c r="I2974" s="14">
        <v>45310</v>
      </c>
    </row>
    <row r="2975" spans="1:9" x14ac:dyDescent="0.15">
      <c r="A2975" s="5">
        <v>2974</v>
      </c>
      <c r="B2975" s="6" t="s">
        <v>9</v>
      </c>
      <c r="C2975" s="7">
        <v>1882</v>
      </c>
      <c r="D2975" s="8">
        <v>45388</v>
      </c>
      <c r="E2975" s="9" t="str">
        <f>+HYPERLINK("http://trademark.i-assist.jp/data/china/image_1882th/76475780.pdf","76475780")</f>
        <v>76475780</v>
      </c>
      <c r="F2975" s="6" t="s">
        <v>8115</v>
      </c>
      <c r="G2975" s="6" t="s">
        <v>8116</v>
      </c>
      <c r="H2975" s="8" t="s">
        <v>8117</v>
      </c>
      <c r="I2975" s="14">
        <v>45310</v>
      </c>
    </row>
    <row r="2976" spans="1:9" x14ac:dyDescent="0.15">
      <c r="A2976" s="5">
        <v>2975</v>
      </c>
      <c r="B2976" s="6" t="s">
        <v>9</v>
      </c>
      <c r="C2976" s="7">
        <v>1882</v>
      </c>
      <c r="D2976" s="8">
        <v>45388</v>
      </c>
      <c r="E2976" s="9" t="str">
        <f>+HYPERLINK("http://trademark.i-assist.jp/data/china/image_1882th/76475843.pdf","76475843")</f>
        <v>76475843</v>
      </c>
      <c r="F2976" s="6" t="s">
        <v>8118</v>
      </c>
      <c r="G2976" s="6" t="s">
        <v>8119</v>
      </c>
      <c r="H2976" s="8" t="s">
        <v>8120</v>
      </c>
      <c r="I2976" s="14">
        <v>45310</v>
      </c>
    </row>
    <row r="2977" spans="1:9" x14ac:dyDescent="0.15">
      <c r="A2977" s="5">
        <v>2976</v>
      </c>
      <c r="B2977" s="6" t="s">
        <v>9</v>
      </c>
      <c r="C2977" s="7">
        <v>1882</v>
      </c>
      <c r="D2977" s="8">
        <v>45388</v>
      </c>
      <c r="E2977" s="9" t="str">
        <f>+HYPERLINK("http://trademark.i-assist.jp/data/china/image_1882th/76476359.pdf","76476359")</f>
        <v>76476359</v>
      </c>
      <c r="F2977" s="6" t="s">
        <v>8121</v>
      </c>
      <c r="G2977" s="6" t="s">
        <v>8122</v>
      </c>
      <c r="H2977" s="8" t="s">
        <v>8123</v>
      </c>
      <c r="I2977" s="14">
        <v>45309</v>
      </c>
    </row>
    <row r="2978" spans="1:9" x14ac:dyDescent="0.15">
      <c r="A2978" s="5">
        <v>2977</v>
      </c>
      <c r="B2978" s="6" t="s">
        <v>9</v>
      </c>
      <c r="C2978" s="7">
        <v>1882</v>
      </c>
      <c r="D2978" s="8">
        <v>45388</v>
      </c>
      <c r="E2978" s="9" t="str">
        <f>+HYPERLINK("http://trademark.i-assist.jp/data/china/image_1882th/76476629.pdf","76476629")</f>
        <v>76476629</v>
      </c>
      <c r="F2978" s="6" t="s">
        <v>8124</v>
      </c>
      <c r="G2978" s="6" t="s">
        <v>8125</v>
      </c>
      <c r="H2978" s="8" t="s">
        <v>8126</v>
      </c>
      <c r="I2978" s="14">
        <v>45309</v>
      </c>
    </row>
    <row r="2979" spans="1:9" x14ac:dyDescent="0.15">
      <c r="A2979" s="5">
        <v>2978</v>
      </c>
      <c r="B2979" s="6" t="s">
        <v>9</v>
      </c>
      <c r="C2979" s="7">
        <v>1882</v>
      </c>
      <c r="D2979" s="8">
        <v>45388</v>
      </c>
      <c r="E2979" s="9" t="str">
        <f>+HYPERLINK("http://trademark.i-assist.jp/data/china/image_1882th/76476782.pdf","76476782")</f>
        <v>76476782</v>
      </c>
      <c r="F2979" s="6" t="s">
        <v>8127</v>
      </c>
      <c r="G2979" s="6" t="s">
        <v>8128</v>
      </c>
      <c r="H2979" s="8" t="s">
        <v>8129</v>
      </c>
      <c r="I2979" s="14">
        <v>45309</v>
      </c>
    </row>
    <row r="2980" spans="1:9" x14ac:dyDescent="0.15">
      <c r="A2980" s="5">
        <v>2979</v>
      </c>
      <c r="B2980" s="6" t="s">
        <v>9</v>
      </c>
      <c r="C2980" s="7">
        <v>1882</v>
      </c>
      <c r="D2980" s="8">
        <v>45388</v>
      </c>
      <c r="E2980" s="9" t="str">
        <f>+HYPERLINK("http://trademark.i-assist.jp/data/china/image_1882th/76476812.pdf","76476812")</f>
        <v>76476812</v>
      </c>
      <c r="F2980" s="6" t="s">
        <v>8130</v>
      </c>
      <c r="G2980" s="6" t="s">
        <v>8131</v>
      </c>
      <c r="H2980" s="8" t="s">
        <v>8132</v>
      </c>
      <c r="I2980" s="14">
        <v>45309</v>
      </c>
    </row>
    <row r="2981" spans="1:9" x14ac:dyDescent="0.15">
      <c r="A2981" s="5">
        <v>2980</v>
      </c>
      <c r="B2981" s="6" t="s">
        <v>9</v>
      </c>
      <c r="C2981" s="7">
        <v>1882</v>
      </c>
      <c r="D2981" s="8">
        <v>45388</v>
      </c>
      <c r="E2981" s="9" t="str">
        <f>+HYPERLINK("http://trademark.i-assist.jp/data/china/image_1882th/76476946.pdf","76476946")</f>
        <v>76476946</v>
      </c>
      <c r="F2981" s="6" t="s">
        <v>8133</v>
      </c>
      <c r="G2981" s="6" t="s">
        <v>7797</v>
      </c>
      <c r="H2981" s="8" t="s">
        <v>8134</v>
      </c>
      <c r="I2981" s="14">
        <v>45309</v>
      </c>
    </row>
    <row r="2982" spans="1:9" x14ac:dyDescent="0.15">
      <c r="A2982" s="5">
        <v>2981</v>
      </c>
      <c r="B2982" s="6" t="s">
        <v>9</v>
      </c>
      <c r="C2982" s="7">
        <v>1882</v>
      </c>
      <c r="D2982" s="8">
        <v>45388</v>
      </c>
      <c r="E2982" s="9" t="str">
        <f>+HYPERLINK("http://trademark.i-assist.jp/data/china/image_1882th/76477067.pdf","76477067")</f>
        <v>76477067</v>
      </c>
      <c r="F2982" s="6" t="s">
        <v>8135</v>
      </c>
      <c r="G2982" s="6" t="s">
        <v>8136</v>
      </c>
      <c r="H2982" s="8" t="s">
        <v>8137</v>
      </c>
      <c r="I2982" s="14">
        <v>45310</v>
      </c>
    </row>
    <row r="2983" spans="1:9" x14ac:dyDescent="0.15">
      <c r="A2983" s="5">
        <v>2982</v>
      </c>
      <c r="B2983" s="6" t="s">
        <v>9</v>
      </c>
      <c r="C2983" s="7">
        <v>1882</v>
      </c>
      <c r="D2983" s="8">
        <v>45388</v>
      </c>
      <c r="E2983" s="9" t="str">
        <f>+HYPERLINK("http://trademark.i-assist.jp/data/china/image_1882th/76477089.pdf","76477089")</f>
        <v>76477089</v>
      </c>
      <c r="F2983" s="6" t="s">
        <v>8138</v>
      </c>
      <c r="G2983" s="6" t="s">
        <v>8139</v>
      </c>
      <c r="H2983" s="8" t="s">
        <v>8140</v>
      </c>
      <c r="I2983" s="14">
        <v>45310</v>
      </c>
    </row>
    <row r="2984" spans="1:9" x14ac:dyDescent="0.15">
      <c r="A2984" s="5">
        <v>2983</v>
      </c>
      <c r="B2984" s="6" t="s">
        <v>9</v>
      </c>
      <c r="C2984" s="7">
        <v>1882</v>
      </c>
      <c r="D2984" s="8">
        <v>45388</v>
      </c>
      <c r="E2984" s="9" t="str">
        <f>+HYPERLINK("http://trademark.i-assist.jp/data/china/image_1882th/76477292.pdf","76477292")</f>
        <v>76477292</v>
      </c>
      <c r="F2984" s="6" t="s">
        <v>8141</v>
      </c>
      <c r="G2984" s="6" t="s">
        <v>8142</v>
      </c>
      <c r="H2984" s="8" t="s">
        <v>8143</v>
      </c>
      <c r="I2984" s="14">
        <v>45309</v>
      </c>
    </row>
    <row r="2985" spans="1:9" x14ac:dyDescent="0.15">
      <c r="A2985" s="5">
        <v>2984</v>
      </c>
      <c r="B2985" s="6" t="s">
        <v>9</v>
      </c>
      <c r="C2985" s="7">
        <v>1882</v>
      </c>
      <c r="D2985" s="8">
        <v>45388</v>
      </c>
      <c r="E2985" s="9" t="str">
        <f>+HYPERLINK("http://trademark.i-assist.jp/data/china/image_1882th/76477302.pdf","76477302")</f>
        <v>76477302</v>
      </c>
      <c r="F2985" s="6" t="s">
        <v>8144</v>
      </c>
      <c r="G2985" s="6" t="s">
        <v>8145</v>
      </c>
      <c r="H2985" s="8" t="s">
        <v>8146</v>
      </c>
      <c r="I2985" s="14">
        <v>45309</v>
      </c>
    </row>
    <row r="2986" spans="1:9" x14ac:dyDescent="0.15">
      <c r="A2986" s="5">
        <v>2985</v>
      </c>
      <c r="B2986" s="6" t="s">
        <v>9</v>
      </c>
      <c r="C2986" s="7">
        <v>1882</v>
      </c>
      <c r="D2986" s="8">
        <v>45388</v>
      </c>
      <c r="E2986" s="9" t="str">
        <f>+HYPERLINK("http://trademark.i-assist.jp/data/china/image_1882th/76477946.pdf","76477946")</f>
        <v>76477946</v>
      </c>
      <c r="F2986" s="6" t="s">
        <v>8147</v>
      </c>
      <c r="G2986" s="6" t="s">
        <v>8148</v>
      </c>
      <c r="H2986" s="8" t="s">
        <v>8149</v>
      </c>
      <c r="I2986" s="14">
        <v>45309</v>
      </c>
    </row>
    <row r="2987" spans="1:9" x14ac:dyDescent="0.15">
      <c r="A2987" s="5">
        <v>2986</v>
      </c>
      <c r="B2987" s="6" t="s">
        <v>9</v>
      </c>
      <c r="C2987" s="7">
        <v>1882</v>
      </c>
      <c r="D2987" s="8">
        <v>45388</v>
      </c>
      <c r="E2987" s="9" t="str">
        <f>+HYPERLINK("http://trademark.i-assist.jp/data/china/image_1882th/76478064.pdf","76478064")</f>
        <v>76478064</v>
      </c>
      <c r="F2987" s="6" t="s">
        <v>8150</v>
      </c>
      <c r="G2987" s="6" t="s">
        <v>8151</v>
      </c>
      <c r="H2987" s="8" t="s">
        <v>8152</v>
      </c>
      <c r="I2987" s="14">
        <v>45309</v>
      </c>
    </row>
    <row r="2988" spans="1:9" x14ac:dyDescent="0.15">
      <c r="A2988" s="5">
        <v>2987</v>
      </c>
      <c r="B2988" s="6" t="s">
        <v>9</v>
      </c>
      <c r="C2988" s="7">
        <v>1882</v>
      </c>
      <c r="D2988" s="8">
        <v>45388</v>
      </c>
      <c r="E2988" s="9" t="str">
        <f>+HYPERLINK("http://trademark.i-assist.jp/data/china/image_1882th/76478330.pdf","76478330")</f>
        <v>76478330</v>
      </c>
      <c r="F2988" s="6" t="s">
        <v>8153</v>
      </c>
      <c r="G2988" s="6" t="s">
        <v>8154</v>
      </c>
      <c r="H2988" s="8" t="s">
        <v>8155</v>
      </c>
      <c r="I2988" s="14">
        <v>45309</v>
      </c>
    </row>
    <row r="2989" spans="1:9" x14ac:dyDescent="0.15">
      <c r="A2989" s="5">
        <v>2988</v>
      </c>
      <c r="B2989" s="6" t="s">
        <v>9</v>
      </c>
      <c r="C2989" s="7">
        <v>1882</v>
      </c>
      <c r="D2989" s="8">
        <v>45388</v>
      </c>
      <c r="E2989" s="9" t="str">
        <f>+HYPERLINK("http://trademark.i-assist.jp/data/china/image_1882th/76478552.pdf","76478552")</f>
        <v>76478552</v>
      </c>
      <c r="F2989" s="6" t="s">
        <v>8156</v>
      </c>
      <c r="G2989" s="6" t="s">
        <v>8157</v>
      </c>
      <c r="H2989" s="8" t="s">
        <v>8158</v>
      </c>
      <c r="I2989" s="14">
        <v>45309</v>
      </c>
    </row>
    <row r="2990" spans="1:9" x14ac:dyDescent="0.15">
      <c r="A2990" s="5">
        <v>2989</v>
      </c>
      <c r="B2990" s="6" t="s">
        <v>9</v>
      </c>
      <c r="C2990" s="7">
        <v>1882</v>
      </c>
      <c r="D2990" s="8">
        <v>45388</v>
      </c>
      <c r="E2990" s="9" t="str">
        <f>+HYPERLINK("http://trademark.i-assist.jp/data/china/image_1882th/76479929.pdf","76479929")</f>
        <v>76479929</v>
      </c>
      <c r="F2990" s="6" t="s">
        <v>8159</v>
      </c>
      <c r="G2990" s="6" t="s">
        <v>8160</v>
      </c>
      <c r="H2990" s="8" t="s">
        <v>8161</v>
      </c>
      <c r="I2990" s="14">
        <v>45309</v>
      </c>
    </row>
    <row r="2991" spans="1:9" x14ac:dyDescent="0.15">
      <c r="A2991" s="5">
        <v>2990</v>
      </c>
      <c r="B2991" s="6" t="s">
        <v>9</v>
      </c>
      <c r="C2991" s="7">
        <v>1882</v>
      </c>
      <c r="D2991" s="8">
        <v>45388</v>
      </c>
      <c r="E2991" s="9" t="str">
        <f>+HYPERLINK("http://trademark.i-assist.jp/data/china/image_1882th/76480783.pdf","76480783")</f>
        <v>76480783</v>
      </c>
      <c r="F2991" s="6" t="s">
        <v>8162</v>
      </c>
      <c r="G2991" s="6" t="s">
        <v>8163</v>
      </c>
      <c r="H2991" s="8" t="s">
        <v>8164</v>
      </c>
      <c r="I2991" s="14">
        <v>45309</v>
      </c>
    </row>
    <row r="2992" spans="1:9" x14ac:dyDescent="0.15">
      <c r="A2992" s="5">
        <v>2991</v>
      </c>
      <c r="B2992" s="6" t="s">
        <v>9</v>
      </c>
      <c r="C2992" s="7">
        <v>1882</v>
      </c>
      <c r="D2992" s="8">
        <v>45388</v>
      </c>
      <c r="E2992" s="9" t="str">
        <f>+HYPERLINK("http://trademark.i-assist.jp/data/china/image_1882th/76481057.pdf","76481057")</f>
        <v>76481057</v>
      </c>
      <c r="F2992" s="6" t="s">
        <v>8165</v>
      </c>
      <c r="G2992" s="6" t="s">
        <v>8166</v>
      </c>
      <c r="H2992" s="8" t="s">
        <v>8167</v>
      </c>
      <c r="I2992" s="14">
        <v>45309</v>
      </c>
    </row>
    <row r="2993" spans="1:9" x14ac:dyDescent="0.15">
      <c r="A2993" s="5">
        <v>2992</v>
      </c>
      <c r="B2993" s="6" t="s">
        <v>9</v>
      </c>
      <c r="C2993" s="7">
        <v>1882</v>
      </c>
      <c r="D2993" s="8">
        <v>45388</v>
      </c>
      <c r="E2993" s="9" t="str">
        <f>+HYPERLINK("http://trademark.i-assist.jp/data/china/image_1882th/76481411.pdf","76481411")</f>
        <v>76481411</v>
      </c>
      <c r="F2993" s="6" t="s">
        <v>8168</v>
      </c>
      <c r="G2993" s="6" t="s">
        <v>8169</v>
      </c>
      <c r="H2993" s="8" t="s">
        <v>8170</v>
      </c>
      <c r="I2993" s="14">
        <v>45309</v>
      </c>
    </row>
    <row r="2994" spans="1:9" x14ac:dyDescent="0.15">
      <c r="A2994" s="5">
        <v>2993</v>
      </c>
      <c r="B2994" s="6" t="s">
        <v>9</v>
      </c>
      <c r="C2994" s="7">
        <v>1882</v>
      </c>
      <c r="D2994" s="8">
        <v>45388</v>
      </c>
      <c r="E2994" s="9" t="str">
        <f>+HYPERLINK("http://trademark.i-assist.jp/data/china/image_1882th/76481783.pdf","76481783")</f>
        <v>76481783</v>
      </c>
      <c r="F2994" s="6" t="s">
        <v>8171</v>
      </c>
      <c r="G2994" s="6" t="s">
        <v>8172</v>
      </c>
      <c r="H2994" s="8" t="s">
        <v>8173</v>
      </c>
      <c r="I2994" s="14">
        <v>45309</v>
      </c>
    </row>
    <row r="2995" spans="1:9" x14ac:dyDescent="0.15">
      <c r="A2995" s="5">
        <v>2994</v>
      </c>
      <c r="B2995" s="6" t="s">
        <v>9</v>
      </c>
      <c r="C2995" s="7">
        <v>1882</v>
      </c>
      <c r="D2995" s="8">
        <v>45388</v>
      </c>
      <c r="E2995" s="9" t="str">
        <f>+HYPERLINK("http://trademark.i-assist.jp/data/china/image_1882th/76482363.pdf","76482363")</f>
        <v>76482363</v>
      </c>
      <c r="F2995" s="6" t="s">
        <v>8174</v>
      </c>
      <c r="G2995" s="6" t="s">
        <v>8175</v>
      </c>
      <c r="H2995" s="8" t="s">
        <v>8176</v>
      </c>
      <c r="I2995" s="14">
        <v>45310</v>
      </c>
    </row>
    <row r="2996" spans="1:9" x14ac:dyDescent="0.15">
      <c r="A2996" s="5">
        <v>2995</v>
      </c>
      <c r="B2996" s="6" t="s">
        <v>9</v>
      </c>
      <c r="C2996" s="7">
        <v>1882</v>
      </c>
      <c r="D2996" s="8">
        <v>45388</v>
      </c>
      <c r="E2996" s="9" t="str">
        <f>+HYPERLINK("http://trademark.i-assist.jp/data/china/image_1882th/76482498.pdf","76482498")</f>
        <v>76482498</v>
      </c>
      <c r="F2996" s="6" t="s">
        <v>26</v>
      </c>
      <c r="G2996" s="6" t="s">
        <v>8177</v>
      </c>
      <c r="H2996" s="8" t="s">
        <v>8178</v>
      </c>
      <c r="I2996" s="14">
        <v>45310</v>
      </c>
    </row>
    <row r="2997" spans="1:9" x14ac:dyDescent="0.15">
      <c r="A2997" s="5">
        <v>2996</v>
      </c>
      <c r="B2997" s="6" t="s">
        <v>9</v>
      </c>
      <c r="C2997" s="7">
        <v>1882</v>
      </c>
      <c r="D2997" s="8">
        <v>45388</v>
      </c>
      <c r="E2997" s="9" t="str">
        <f>+HYPERLINK("http://trademark.i-assist.jp/data/china/image_1882th/76482804.pdf","76482804")</f>
        <v>76482804</v>
      </c>
      <c r="F2997" s="6" t="s">
        <v>8179</v>
      </c>
      <c r="G2997" s="6" t="s">
        <v>8088</v>
      </c>
      <c r="H2997" s="8" t="s">
        <v>8180</v>
      </c>
      <c r="I2997" s="14">
        <v>45310</v>
      </c>
    </row>
    <row r="2998" spans="1:9" x14ac:dyDescent="0.15">
      <c r="A2998" s="5">
        <v>2997</v>
      </c>
      <c r="B2998" s="6" t="s">
        <v>9</v>
      </c>
      <c r="C2998" s="7">
        <v>1882</v>
      </c>
      <c r="D2998" s="8">
        <v>45388</v>
      </c>
      <c r="E2998" s="9" t="str">
        <f>+HYPERLINK("http://trademark.i-assist.jp/data/china/image_1882th/76482940.pdf","76482940")</f>
        <v>76482940</v>
      </c>
      <c r="F2998" s="6" t="s">
        <v>8181</v>
      </c>
      <c r="G2998" s="6" t="s">
        <v>8182</v>
      </c>
      <c r="H2998" s="8" t="s">
        <v>8183</v>
      </c>
      <c r="I2998" s="14">
        <v>45310</v>
      </c>
    </row>
    <row r="2999" spans="1:9" x14ac:dyDescent="0.15">
      <c r="A2999" s="5">
        <v>2998</v>
      </c>
      <c r="B2999" s="6" t="s">
        <v>9</v>
      </c>
      <c r="C2999" s="7">
        <v>1882</v>
      </c>
      <c r="D2999" s="8">
        <v>45388</v>
      </c>
      <c r="E2999" s="9" t="str">
        <f>+HYPERLINK("http://trademark.i-assist.jp/data/china/image_1882th/76483642.pdf","76483642")</f>
        <v>76483642</v>
      </c>
      <c r="F2999" s="6" t="s">
        <v>8184</v>
      </c>
      <c r="G2999" s="6" t="s">
        <v>8185</v>
      </c>
      <c r="H2999" s="8" t="s">
        <v>8186</v>
      </c>
      <c r="I2999" s="14">
        <v>45310</v>
      </c>
    </row>
    <row r="3000" spans="1:9" x14ac:dyDescent="0.15">
      <c r="A3000" s="5">
        <v>2999</v>
      </c>
      <c r="B3000" s="6" t="s">
        <v>9</v>
      </c>
      <c r="C3000" s="7">
        <v>1882</v>
      </c>
      <c r="D3000" s="8">
        <v>45388</v>
      </c>
      <c r="E3000" s="9" t="str">
        <f>+HYPERLINK("http://trademark.i-assist.jp/data/china/image_1882th/76483643.pdf","76483643")</f>
        <v>76483643</v>
      </c>
      <c r="F3000" s="6" t="s">
        <v>8187</v>
      </c>
      <c r="G3000" s="6" t="s">
        <v>8188</v>
      </c>
      <c r="H3000" s="8" t="s">
        <v>8189</v>
      </c>
      <c r="I3000" s="14">
        <v>45310</v>
      </c>
    </row>
    <row r="3001" spans="1:9" x14ac:dyDescent="0.15">
      <c r="A3001" s="5">
        <v>3000</v>
      </c>
      <c r="B3001" s="6" t="s">
        <v>9</v>
      </c>
      <c r="C3001" s="7">
        <v>1882</v>
      </c>
      <c r="D3001" s="8">
        <v>45388</v>
      </c>
      <c r="E3001" s="9" t="str">
        <f>+HYPERLINK("http://trademark.i-assist.jp/data/china/image_1882th/76484765.pdf","76484765")</f>
        <v>76484765</v>
      </c>
      <c r="F3001" s="6" t="s">
        <v>8190</v>
      </c>
      <c r="G3001" s="6" t="s">
        <v>8191</v>
      </c>
      <c r="H3001" s="8" t="s">
        <v>8192</v>
      </c>
      <c r="I3001" s="14">
        <v>45309</v>
      </c>
    </row>
    <row r="3002" spans="1:9" x14ac:dyDescent="0.15">
      <c r="A3002" s="5">
        <v>3001</v>
      </c>
      <c r="B3002" s="6" t="s">
        <v>9</v>
      </c>
      <c r="C3002" s="7">
        <v>1882</v>
      </c>
      <c r="D3002" s="8">
        <v>45388</v>
      </c>
      <c r="E3002" s="9" t="str">
        <f>+HYPERLINK("http://trademark.i-assist.jp/data/china/image_1882th/76484970.pdf","76484970")</f>
        <v>76484970</v>
      </c>
      <c r="F3002" s="6" t="s">
        <v>8193</v>
      </c>
      <c r="G3002" s="6" t="s">
        <v>8194</v>
      </c>
      <c r="H3002" s="8" t="s">
        <v>8195</v>
      </c>
      <c r="I3002" s="14">
        <v>45309</v>
      </c>
    </row>
    <row r="3003" spans="1:9" x14ac:dyDescent="0.15">
      <c r="A3003" s="5">
        <v>3002</v>
      </c>
      <c r="B3003" s="6" t="s">
        <v>9</v>
      </c>
      <c r="C3003" s="7">
        <v>1882</v>
      </c>
      <c r="D3003" s="8">
        <v>45388</v>
      </c>
      <c r="E3003" s="9" t="str">
        <f>+HYPERLINK("http://trademark.i-assist.jp/data/china/image_1882th/76485701.pdf","76485701")</f>
        <v>76485701</v>
      </c>
      <c r="F3003" s="6" t="s">
        <v>8196</v>
      </c>
      <c r="G3003" s="6" t="s">
        <v>8197</v>
      </c>
      <c r="H3003" s="8" t="s">
        <v>8198</v>
      </c>
      <c r="I3003" s="14">
        <v>45310</v>
      </c>
    </row>
    <row r="3004" spans="1:9" x14ac:dyDescent="0.15">
      <c r="A3004" s="5">
        <v>3003</v>
      </c>
      <c r="B3004" s="6" t="s">
        <v>9</v>
      </c>
      <c r="C3004" s="7">
        <v>1882</v>
      </c>
      <c r="D3004" s="8">
        <v>45388</v>
      </c>
      <c r="E3004" s="9" t="str">
        <f>+HYPERLINK("http://trademark.i-assist.jp/data/china/image_1882th/76486175.pdf","76486175")</f>
        <v>76486175</v>
      </c>
      <c r="F3004" s="6" t="s">
        <v>8199</v>
      </c>
      <c r="G3004" s="6" t="s">
        <v>8200</v>
      </c>
      <c r="H3004" s="8" t="s">
        <v>8201</v>
      </c>
      <c r="I3004" s="14">
        <v>45310</v>
      </c>
    </row>
    <row r="3005" spans="1:9" x14ac:dyDescent="0.15">
      <c r="A3005" s="5">
        <v>3004</v>
      </c>
      <c r="B3005" s="6" t="s">
        <v>9</v>
      </c>
      <c r="C3005" s="7">
        <v>1882</v>
      </c>
      <c r="D3005" s="8">
        <v>45388</v>
      </c>
      <c r="E3005" s="9" t="str">
        <f>+HYPERLINK("http://trademark.i-assist.jp/data/china/image_1882th/76486727.pdf","76486727")</f>
        <v>76486727</v>
      </c>
      <c r="F3005" s="6" t="s">
        <v>8202</v>
      </c>
      <c r="G3005" s="6" t="s">
        <v>8203</v>
      </c>
      <c r="H3005" s="8" t="s">
        <v>8204</v>
      </c>
      <c r="I3005" s="14">
        <v>45310</v>
      </c>
    </row>
    <row r="3006" spans="1:9" x14ac:dyDescent="0.15">
      <c r="A3006" s="5">
        <v>3005</v>
      </c>
      <c r="B3006" s="6" t="s">
        <v>9</v>
      </c>
      <c r="C3006" s="7">
        <v>1882</v>
      </c>
      <c r="D3006" s="8">
        <v>45388</v>
      </c>
      <c r="E3006" s="9" t="str">
        <f>+HYPERLINK("http://trademark.i-assist.jp/data/china/image_1882th/76487052.pdf","76487052")</f>
        <v>76487052</v>
      </c>
      <c r="F3006" s="6" t="s">
        <v>8205</v>
      </c>
      <c r="G3006" s="6" t="s">
        <v>8206</v>
      </c>
      <c r="H3006" s="8" t="s">
        <v>8207</v>
      </c>
      <c r="I3006" s="14">
        <v>45310</v>
      </c>
    </row>
    <row r="3007" spans="1:9" x14ac:dyDescent="0.15">
      <c r="A3007" s="5">
        <v>3006</v>
      </c>
      <c r="B3007" s="6" t="s">
        <v>9</v>
      </c>
      <c r="C3007" s="7">
        <v>1882</v>
      </c>
      <c r="D3007" s="8">
        <v>45388</v>
      </c>
      <c r="E3007" s="9" t="str">
        <f>+HYPERLINK("http://trademark.i-assist.jp/data/china/image_1882th/76487283.pdf","76487283")</f>
        <v>76487283</v>
      </c>
      <c r="F3007" s="6" t="s">
        <v>8208</v>
      </c>
      <c r="G3007" s="6" t="s">
        <v>8209</v>
      </c>
      <c r="H3007" s="8" t="s">
        <v>8210</v>
      </c>
      <c r="I3007" s="14">
        <v>45310</v>
      </c>
    </row>
    <row r="3008" spans="1:9" x14ac:dyDescent="0.15">
      <c r="A3008" s="5">
        <v>3007</v>
      </c>
      <c r="B3008" s="6" t="s">
        <v>9</v>
      </c>
      <c r="C3008" s="7">
        <v>1882</v>
      </c>
      <c r="D3008" s="8">
        <v>45388</v>
      </c>
      <c r="E3008" s="9" t="str">
        <f>+HYPERLINK("http://trademark.i-assist.jp/data/china/image_1882th/76487776.pdf","76487776")</f>
        <v>76487776</v>
      </c>
      <c r="F3008" s="6" t="s">
        <v>8211</v>
      </c>
      <c r="G3008" s="6" t="s">
        <v>8212</v>
      </c>
      <c r="H3008" s="8" t="s">
        <v>8213</v>
      </c>
      <c r="I3008" s="14">
        <v>45310</v>
      </c>
    </row>
    <row r="3009" spans="1:9" x14ac:dyDescent="0.15">
      <c r="A3009" s="5">
        <v>3008</v>
      </c>
      <c r="B3009" s="6" t="s">
        <v>9</v>
      </c>
      <c r="C3009" s="7">
        <v>1882</v>
      </c>
      <c r="D3009" s="8">
        <v>45388</v>
      </c>
      <c r="E3009" s="9" t="str">
        <f>+HYPERLINK("http://trademark.i-assist.jp/data/china/image_1882th/76487967.pdf","76487967")</f>
        <v>76487967</v>
      </c>
      <c r="F3009" s="6" t="s">
        <v>8214</v>
      </c>
      <c r="G3009" s="6" t="s">
        <v>8215</v>
      </c>
      <c r="H3009" s="8" t="s">
        <v>8216</v>
      </c>
      <c r="I3009" s="14">
        <v>45310</v>
      </c>
    </row>
    <row r="3010" spans="1:9" x14ac:dyDescent="0.15">
      <c r="A3010" s="5">
        <v>3009</v>
      </c>
      <c r="B3010" s="6" t="s">
        <v>9</v>
      </c>
      <c r="C3010" s="7">
        <v>1882</v>
      </c>
      <c r="D3010" s="8">
        <v>45388</v>
      </c>
      <c r="E3010" s="9" t="str">
        <f>+HYPERLINK("http://trademark.i-assist.jp/data/china/image_1882th/76488267.pdf","76488267")</f>
        <v>76488267</v>
      </c>
      <c r="F3010" s="6" t="s">
        <v>26</v>
      </c>
      <c r="G3010" s="6" t="s">
        <v>8217</v>
      </c>
      <c r="H3010" s="8" t="s">
        <v>8218</v>
      </c>
      <c r="I3010" s="14">
        <v>45310</v>
      </c>
    </row>
    <row r="3011" spans="1:9" x14ac:dyDescent="0.15">
      <c r="A3011" s="5">
        <v>3010</v>
      </c>
      <c r="B3011" s="6" t="s">
        <v>9</v>
      </c>
      <c r="C3011" s="7">
        <v>1882</v>
      </c>
      <c r="D3011" s="8">
        <v>45388</v>
      </c>
      <c r="E3011" s="9" t="str">
        <f>+HYPERLINK("http://trademark.i-assist.jp/data/china/image_1882th/76490898.pdf","76490898")</f>
        <v>76490898</v>
      </c>
      <c r="F3011" s="6" t="s">
        <v>8219</v>
      </c>
      <c r="G3011" s="6" t="s">
        <v>8220</v>
      </c>
      <c r="H3011" s="8" t="s">
        <v>8221</v>
      </c>
      <c r="I3011" s="14">
        <v>45310</v>
      </c>
    </row>
    <row r="3012" spans="1:9" x14ac:dyDescent="0.15">
      <c r="A3012" s="5">
        <v>3011</v>
      </c>
      <c r="B3012" s="6" t="s">
        <v>9</v>
      </c>
      <c r="C3012" s="7">
        <v>1882</v>
      </c>
      <c r="D3012" s="8">
        <v>45388</v>
      </c>
      <c r="E3012" s="9" t="str">
        <f>+HYPERLINK("http://trademark.i-assist.jp/data/china/image_1882th/76491067.pdf","76491067")</f>
        <v>76491067</v>
      </c>
      <c r="F3012" s="6" t="s">
        <v>8222</v>
      </c>
      <c r="G3012" s="6" t="s">
        <v>6554</v>
      </c>
      <c r="H3012" s="8" t="s">
        <v>8223</v>
      </c>
      <c r="I3012" s="14">
        <v>45310</v>
      </c>
    </row>
    <row r="3013" spans="1:9" x14ac:dyDescent="0.15">
      <c r="A3013" s="5">
        <v>3012</v>
      </c>
      <c r="B3013" s="6" t="s">
        <v>9</v>
      </c>
      <c r="C3013" s="7">
        <v>1882</v>
      </c>
      <c r="D3013" s="8">
        <v>45388</v>
      </c>
      <c r="E3013" s="9" t="str">
        <f>+HYPERLINK("http://trademark.i-assist.jp/data/china/image_1882th/76491480.pdf","76491480")</f>
        <v>76491480</v>
      </c>
      <c r="F3013" s="6" t="s">
        <v>8224</v>
      </c>
      <c r="G3013" s="6" t="s">
        <v>8225</v>
      </c>
      <c r="H3013" s="8" t="s">
        <v>8226</v>
      </c>
      <c r="I3013" s="14">
        <v>45310</v>
      </c>
    </row>
    <row r="3014" spans="1:9" x14ac:dyDescent="0.15">
      <c r="A3014" s="5">
        <v>3013</v>
      </c>
      <c r="B3014" s="6" t="s">
        <v>9</v>
      </c>
      <c r="C3014" s="7">
        <v>1882</v>
      </c>
      <c r="D3014" s="8">
        <v>45388</v>
      </c>
      <c r="E3014" s="9" t="str">
        <f>+HYPERLINK("http://trademark.i-assist.jp/data/china/image_1882th/76491999.pdf","76491999")</f>
        <v>76491999</v>
      </c>
      <c r="F3014" s="6" t="s">
        <v>26</v>
      </c>
      <c r="G3014" s="6" t="s">
        <v>8055</v>
      </c>
      <c r="H3014" s="8" t="s">
        <v>8227</v>
      </c>
      <c r="I3014" s="14">
        <v>45310</v>
      </c>
    </row>
    <row r="3015" spans="1:9" x14ac:dyDescent="0.15">
      <c r="A3015" s="5">
        <v>3014</v>
      </c>
      <c r="B3015" s="6" t="s">
        <v>9</v>
      </c>
      <c r="C3015" s="7">
        <v>1882</v>
      </c>
      <c r="D3015" s="8">
        <v>45388</v>
      </c>
      <c r="E3015" s="9" t="str">
        <f>+HYPERLINK("http://trademark.i-assist.jp/data/china/image_1882th/76492263.pdf","76492263")</f>
        <v>76492263</v>
      </c>
      <c r="F3015" s="6" t="s">
        <v>8228</v>
      </c>
      <c r="G3015" s="6" t="s">
        <v>8229</v>
      </c>
      <c r="H3015" s="8" t="s">
        <v>8230</v>
      </c>
      <c r="I3015" s="14">
        <v>45312</v>
      </c>
    </row>
    <row r="3016" spans="1:9" x14ac:dyDescent="0.15">
      <c r="A3016" s="5">
        <v>3015</v>
      </c>
      <c r="B3016" s="6" t="s">
        <v>9</v>
      </c>
      <c r="C3016" s="7">
        <v>1882</v>
      </c>
      <c r="D3016" s="8">
        <v>45388</v>
      </c>
      <c r="E3016" s="9" t="str">
        <f>+HYPERLINK("http://trademark.i-assist.jp/data/china/image_1882th/76492264.pdf","76492264")</f>
        <v>76492264</v>
      </c>
      <c r="F3016" s="6" t="s">
        <v>8231</v>
      </c>
      <c r="G3016" s="6" t="s">
        <v>8232</v>
      </c>
      <c r="H3016" s="8" t="s">
        <v>8230</v>
      </c>
      <c r="I3016" s="14">
        <v>45312</v>
      </c>
    </row>
    <row r="3017" spans="1:9" x14ac:dyDescent="0.15">
      <c r="A3017" s="5">
        <v>3016</v>
      </c>
      <c r="B3017" s="6" t="s">
        <v>9</v>
      </c>
      <c r="C3017" s="7">
        <v>1882</v>
      </c>
      <c r="D3017" s="8">
        <v>45388</v>
      </c>
      <c r="E3017" s="9" t="str">
        <f>+HYPERLINK("http://trademark.i-assist.jp/data/china/image_1882th/76492845.pdf","76492845")</f>
        <v>76492845</v>
      </c>
      <c r="F3017" s="6" t="s">
        <v>8233</v>
      </c>
      <c r="G3017" s="6" t="s">
        <v>8234</v>
      </c>
      <c r="H3017" s="8" t="s">
        <v>8235</v>
      </c>
      <c r="I3017" s="14">
        <v>45311</v>
      </c>
    </row>
    <row r="3018" spans="1:9" x14ac:dyDescent="0.15">
      <c r="A3018" s="5">
        <v>3017</v>
      </c>
      <c r="B3018" s="6" t="s">
        <v>9</v>
      </c>
      <c r="C3018" s="7">
        <v>1882</v>
      </c>
      <c r="D3018" s="8">
        <v>45388</v>
      </c>
      <c r="E3018" s="9" t="str">
        <f>+HYPERLINK("http://trademark.i-assist.jp/data/china/image_1882th/76493623.pdf","76493623")</f>
        <v>76493623</v>
      </c>
      <c r="F3018" s="6" t="s">
        <v>8236</v>
      </c>
      <c r="G3018" s="6" t="s">
        <v>8237</v>
      </c>
      <c r="H3018" s="8" t="s">
        <v>8238</v>
      </c>
      <c r="I3018" s="14">
        <v>45310</v>
      </c>
    </row>
    <row r="3019" spans="1:9" x14ac:dyDescent="0.15">
      <c r="A3019" s="5">
        <v>3018</v>
      </c>
      <c r="B3019" s="6" t="s">
        <v>9</v>
      </c>
      <c r="C3019" s="7">
        <v>1882</v>
      </c>
      <c r="D3019" s="8">
        <v>45388</v>
      </c>
      <c r="E3019" s="9" t="str">
        <f>+HYPERLINK("http://trademark.i-assist.jp/data/china/image_1882th/76493884.pdf","76493884")</f>
        <v>76493884</v>
      </c>
      <c r="F3019" s="6" t="s">
        <v>8239</v>
      </c>
      <c r="G3019" s="6" t="s">
        <v>8088</v>
      </c>
      <c r="H3019" s="8" t="s">
        <v>8240</v>
      </c>
      <c r="I3019" s="14">
        <v>45310</v>
      </c>
    </row>
    <row r="3020" spans="1:9" x14ac:dyDescent="0.15">
      <c r="A3020" s="5">
        <v>3019</v>
      </c>
      <c r="B3020" s="6" t="s">
        <v>9</v>
      </c>
      <c r="C3020" s="7">
        <v>1882</v>
      </c>
      <c r="D3020" s="8">
        <v>45388</v>
      </c>
      <c r="E3020" s="9" t="str">
        <f>+HYPERLINK("http://trademark.i-assist.jp/data/china/image_1882th/76494277.pdf","76494277")</f>
        <v>76494277</v>
      </c>
      <c r="F3020" s="6" t="s">
        <v>8241</v>
      </c>
      <c r="G3020" s="6" t="s">
        <v>8242</v>
      </c>
      <c r="H3020" s="8" t="s">
        <v>8243</v>
      </c>
      <c r="I3020" s="14">
        <v>45311</v>
      </c>
    </row>
    <row r="3021" spans="1:9" x14ac:dyDescent="0.15">
      <c r="A3021" s="5">
        <v>3020</v>
      </c>
      <c r="B3021" s="6" t="s">
        <v>9</v>
      </c>
      <c r="C3021" s="7">
        <v>1882</v>
      </c>
      <c r="D3021" s="8">
        <v>45388</v>
      </c>
      <c r="E3021" s="9" t="str">
        <f>+HYPERLINK("http://trademark.i-assist.jp/data/china/image_1882th/76494345.pdf","76494345")</f>
        <v>76494345</v>
      </c>
      <c r="F3021" s="6" t="s">
        <v>8244</v>
      </c>
      <c r="G3021" s="6" t="s">
        <v>8245</v>
      </c>
      <c r="H3021" s="8" t="s">
        <v>8246</v>
      </c>
      <c r="I3021" s="14">
        <v>45311</v>
      </c>
    </row>
    <row r="3022" spans="1:9" x14ac:dyDescent="0.15">
      <c r="A3022" s="5">
        <v>3021</v>
      </c>
      <c r="B3022" s="6" t="s">
        <v>9</v>
      </c>
      <c r="C3022" s="7">
        <v>1882</v>
      </c>
      <c r="D3022" s="8">
        <v>45388</v>
      </c>
      <c r="E3022" s="9" t="str">
        <f>+HYPERLINK("http://trademark.i-assist.jp/data/china/image_1882th/76494380.pdf","76494380")</f>
        <v>76494380</v>
      </c>
      <c r="F3022" s="6" t="s">
        <v>8247</v>
      </c>
      <c r="G3022" s="6" t="s">
        <v>8248</v>
      </c>
      <c r="H3022" s="8" t="s">
        <v>8249</v>
      </c>
      <c r="I3022" s="14">
        <v>45311</v>
      </c>
    </row>
    <row r="3023" spans="1:9" x14ac:dyDescent="0.15">
      <c r="A3023" s="5">
        <v>3022</v>
      </c>
      <c r="B3023" s="6" t="s">
        <v>9</v>
      </c>
      <c r="C3023" s="7">
        <v>1882</v>
      </c>
      <c r="D3023" s="8">
        <v>45388</v>
      </c>
      <c r="E3023" s="9" t="str">
        <f>+HYPERLINK("http://trademark.i-assist.jp/data/china/image_1882th/76494891.pdf","76494891")</f>
        <v>76494891</v>
      </c>
      <c r="F3023" s="6" t="s">
        <v>8250</v>
      </c>
      <c r="G3023" s="6" t="s">
        <v>8088</v>
      </c>
      <c r="H3023" s="8" t="s">
        <v>8251</v>
      </c>
      <c r="I3023" s="14">
        <v>45310</v>
      </c>
    </row>
    <row r="3024" spans="1:9" x14ac:dyDescent="0.15">
      <c r="A3024" s="5">
        <v>3023</v>
      </c>
      <c r="B3024" s="6" t="s">
        <v>9</v>
      </c>
      <c r="C3024" s="7">
        <v>1882</v>
      </c>
      <c r="D3024" s="8">
        <v>45388</v>
      </c>
      <c r="E3024" s="9" t="str">
        <f>+HYPERLINK("http://trademark.i-assist.jp/data/china/image_1882th/76496427.pdf","76496427")</f>
        <v>76496427</v>
      </c>
      <c r="F3024" s="6" t="s">
        <v>8252</v>
      </c>
      <c r="G3024" s="6" t="s">
        <v>8136</v>
      </c>
      <c r="H3024" s="8" t="s">
        <v>8253</v>
      </c>
      <c r="I3024" s="14">
        <v>45310</v>
      </c>
    </row>
    <row r="3025" spans="1:9" x14ac:dyDescent="0.15">
      <c r="A3025" s="5">
        <v>3024</v>
      </c>
      <c r="B3025" s="6" t="s">
        <v>9</v>
      </c>
      <c r="C3025" s="7">
        <v>1882</v>
      </c>
      <c r="D3025" s="8">
        <v>45388</v>
      </c>
      <c r="E3025" s="9" t="str">
        <f>+HYPERLINK("http://trademark.i-assist.jp/data/china/image_1882th/76496530.pdf","76496530")</f>
        <v>76496530</v>
      </c>
      <c r="F3025" s="6" t="s">
        <v>8254</v>
      </c>
      <c r="G3025" s="6" t="s">
        <v>8255</v>
      </c>
      <c r="H3025" s="8" t="s">
        <v>8256</v>
      </c>
      <c r="I3025" s="14">
        <v>45310</v>
      </c>
    </row>
    <row r="3026" spans="1:9" x14ac:dyDescent="0.15">
      <c r="A3026" s="5">
        <v>3025</v>
      </c>
      <c r="B3026" s="6" t="s">
        <v>9</v>
      </c>
      <c r="C3026" s="7">
        <v>1882</v>
      </c>
      <c r="D3026" s="8">
        <v>45388</v>
      </c>
      <c r="E3026" s="9" t="str">
        <f>+HYPERLINK("http://trademark.i-assist.jp/data/china/image_1882th/76496872.pdf","76496872")</f>
        <v>76496872</v>
      </c>
      <c r="F3026" s="6" t="s">
        <v>8257</v>
      </c>
      <c r="G3026" s="6" t="s">
        <v>8028</v>
      </c>
      <c r="H3026" s="8" t="s">
        <v>8258</v>
      </c>
      <c r="I3026" s="14">
        <v>45310</v>
      </c>
    </row>
    <row r="3027" spans="1:9" x14ac:dyDescent="0.15">
      <c r="A3027" s="5">
        <v>3026</v>
      </c>
      <c r="B3027" s="6" t="s">
        <v>9</v>
      </c>
      <c r="C3027" s="7">
        <v>1882</v>
      </c>
      <c r="D3027" s="8">
        <v>45388</v>
      </c>
      <c r="E3027" s="9" t="str">
        <f>+HYPERLINK("http://trademark.i-assist.jp/data/china/image_1882th/76496895.pdf","76496895")</f>
        <v>76496895</v>
      </c>
      <c r="F3027" s="6" t="s">
        <v>8259</v>
      </c>
      <c r="G3027" s="6" t="s">
        <v>8260</v>
      </c>
      <c r="H3027" s="8" t="s">
        <v>8261</v>
      </c>
      <c r="I3027" s="14">
        <v>45310</v>
      </c>
    </row>
    <row r="3028" spans="1:9" x14ac:dyDescent="0.15">
      <c r="A3028" s="5">
        <v>3027</v>
      </c>
      <c r="B3028" s="6" t="s">
        <v>9</v>
      </c>
      <c r="C3028" s="7">
        <v>1882</v>
      </c>
      <c r="D3028" s="8">
        <v>45388</v>
      </c>
      <c r="E3028" s="9" t="str">
        <f>+HYPERLINK("http://trademark.i-assist.jp/data/china/image_1882th/76498057.pdf","76498057")</f>
        <v>76498057</v>
      </c>
      <c r="F3028" s="6" t="s">
        <v>8262</v>
      </c>
      <c r="G3028" s="6" t="s">
        <v>8263</v>
      </c>
      <c r="H3028" s="8" t="s">
        <v>8264</v>
      </c>
      <c r="I3028" s="14">
        <v>45310</v>
      </c>
    </row>
    <row r="3029" spans="1:9" x14ac:dyDescent="0.15">
      <c r="A3029" s="5">
        <v>3028</v>
      </c>
      <c r="B3029" s="6" t="s">
        <v>9</v>
      </c>
      <c r="C3029" s="7">
        <v>1882</v>
      </c>
      <c r="D3029" s="8">
        <v>45388</v>
      </c>
      <c r="E3029" s="9" t="str">
        <f>+HYPERLINK("http://trademark.i-assist.jp/data/china/image_1882th/76498394.pdf","76498394")</f>
        <v>76498394</v>
      </c>
      <c r="F3029" s="6" t="s">
        <v>8265</v>
      </c>
      <c r="G3029" s="6" t="s">
        <v>8266</v>
      </c>
      <c r="H3029" s="8" t="s">
        <v>8267</v>
      </c>
      <c r="I3029" s="14">
        <v>45309</v>
      </c>
    </row>
    <row r="3030" spans="1:9" x14ac:dyDescent="0.15">
      <c r="A3030" s="5">
        <v>3029</v>
      </c>
      <c r="B3030" s="6" t="s">
        <v>9</v>
      </c>
      <c r="C3030" s="7">
        <v>1882</v>
      </c>
      <c r="D3030" s="8">
        <v>45388</v>
      </c>
      <c r="E3030" s="9" t="str">
        <f>+HYPERLINK("http://trademark.i-assist.jp/data/china/image_1882th/76498668.pdf","76498668")</f>
        <v>76498668</v>
      </c>
      <c r="F3030" s="6" t="s">
        <v>8268</v>
      </c>
      <c r="G3030" s="6" t="s">
        <v>8269</v>
      </c>
      <c r="H3030" s="8" t="s">
        <v>8270</v>
      </c>
      <c r="I3030" s="14">
        <v>45309</v>
      </c>
    </row>
    <row r="3031" spans="1:9" x14ac:dyDescent="0.15">
      <c r="A3031" s="5">
        <v>3030</v>
      </c>
      <c r="B3031" s="6" t="s">
        <v>9</v>
      </c>
      <c r="C3031" s="7">
        <v>1882</v>
      </c>
      <c r="D3031" s="8">
        <v>45388</v>
      </c>
      <c r="E3031" s="9" t="str">
        <f>+HYPERLINK("http://trademark.i-assist.jp/data/china/image_1882th/76500149.pdf","76500149")</f>
        <v>76500149</v>
      </c>
      <c r="F3031" s="6" t="s">
        <v>8271</v>
      </c>
      <c r="G3031" s="6" t="s">
        <v>8272</v>
      </c>
      <c r="H3031" s="8" t="s">
        <v>8273</v>
      </c>
      <c r="I3031" s="14">
        <v>45310</v>
      </c>
    </row>
    <row r="3032" spans="1:9" x14ac:dyDescent="0.15">
      <c r="A3032" s="5">
        <v>3031</v>
      </c>
      <c r="B3032" s="6" t="s">
        <v>9</v>
      </c>
      <c r="C3032" s="7">
        <v>1882</v>
      </c>
      <c r="D3032" s="8">
        <v>45388</v>
      </c>
      <c r="E3032" s="9" t="str">
        <f>+HYPERLINK("http://trademark.i-assist.jp/data/china/image_1882th/76500585.pdf","76500585")</f>
        <v>76500585</v>
      </c>
      <c r="F3032" s="6" t="s">
        <v>8274</v>
      </c>
      <c r="G3032" s="6" t="s">
        <v>8275</v>
      </c>
      <c r="H3032" s="8" t="s">
        <v>8276</v>
      </c>
      <c r="I3032" s="14">
        <v>45310</v>
      </c>
    </row>
    <row r="3033" spans="1:9" x14ac:dyDescent="0.15">
      <c r="A3033" s="5">
        <v>3032</v>
      </c>
      <c r="B3033" s="6" t="s">
        <v>9</v>
      </c>
      <c r="C3033" s="7">
        <v>1882</v>
      </c>
      <c r="D3033" s="8">
        <v>45388</v>
      </c>
      <c r="E3033" s="9" t="str">
        <f>+HYPERLINK("http://trademark.i-assist.jp/data/china/image_1882th/76501070.pdf","76501070")</f>
        <v>76501070</v>
      </c>
      <c r="F3033" s="6" t="s">
        <v>8277</v>
      </c>
      <c r="G3033" s="6" t="s">
        <v>8278</v>
      </c>
      <c r="H3033" s="8" t="s">
        <v>8279</v>
      </c>
      <c r="I3033" s="14">
        <v>45309</v>
      </c>
    </row>
    <row r="3034" spans="1:9" x14ac:dyDescent="0.15">
      <c r="A3034" s="5">
        <v>3033</v>
      </c>
      <c r="B3034" s="6" t="s">
        <v>9</v>
      </c>
      <c r="C3034" s="7">
        <v>1882</v>
      </c>
      <c r="D3034" s="8">
        <v>45388</v>
      </c>
      <c r="E3034" s="9" t="str">
        <f>+HYPERLINK("http://trademark.i-assist.jp/data/china/image_1882th/76501333.pdf","76501333")</f>
        <v>76501333</v>
      </c>
      <c r="F3034" s="6" t="s">
        <v>8280</v>
      </c>
      <c r="G3034" s="6" t="s">
        <v>8281</v>
      </c>
      <c r="H3034" s="8" t="s">
        <v>8282</v>
      </c>
      <c r="I3034" s="14">
        <v>45310</v>
      </c>
    </row>
    <row r="3035" spans="1:9" x14ac:dyDescent="0.15">
      <c r="A3035" s="5">
        <v>3034</v>
      </c>
      <c r="B3035" s="6" t="s">
        <v>9</v>
      </c>
      <c r="C3035" s="7">
        <v>1882</v>
      </c>
      <c r="D3035" s="8">
        <v>45388</v>
      </c>
      <c r="E3035" s="9" t="str">
        <f>+HYPERLINK("http://trademark.i-assist.jp/data/china/image_1882th/76501365.pdf","76501365")</f>
        <v>76501365</v>
      </c>
      <c r="F3035" s="6" t="s">
        <v>8283</v>
      </c>
      <c r="G3035" s="6" t="s">
        <v>8284</v>
      </c>
      <c r="H3035" s="8" t="s">
        <v>8285</v>
      </c>
      <c r="I3035" s="14">
        <v>45310</v>
      </c>
    </row>
    <row r="3036" spans="1:9" x14ac:dyDescent="0.15">
      <c r="A3036" s="5">
        <v>3035</v>
      </c>
      <c r="B3036" s="6" t="s">
        <v>9</v>
      </c>
      <c r="C3036" s="7">
        <v>1882</v>
      </c>
      <c r="D3036" s="8">
        <v>45388</v>
      </c>
      <c r="E3036" s="9" t="str">
        <f>+HYPERLINK("http://trademark.i-assist.jp/data/china/image_1882th/76502613.pdf","76502613")</f>
        <v>76502613</v>
      </c>
      <c r="F3036" s="6" t="s">
        <v>8286</v>
      </c>
      <c r="G3036" s="6" t="s">
        <v>8287</v>
      </c>
      <c r="H3036" s="8" t="s">
        <v>8288</v>
      </c>
      <c r="I3036" s="14">
        <v>45309</v>
      </c>
    </row>
    <row r="3037" spans="1:9" x14ac:dyDescent="0.15">
      <c r="A3037" s="5">
        <v>3036</v>
      </c>
      <c r="B3037" s="6" t="s">
        <v>9</v>
      </c>
      <c r="C3037" s="7">
        <v>1882</v>
      </c>
      <c r="D3037" s="8">
        <v>45388</v>
      </c>
      <c r="E3037" s="9" t="str">
        <f>+HYPERLINK("http://trademark.i-assist.jp/data/china/image_1882th/76503304.pdf","76503304")</f>
        <v>76503304</v>
      </c>
      <c r="F3037" s="6" t="s">
        <v>8289</v>
      </c>
      <c r="G3037" s="6" t="s">
        <v>8290</v>
      </c>
      <c r="H3037" s="8" t="s">
        <v>8291</v>
      </c>
      <c r="I3037" s="14">
        <v>45309</v>
      </c>
    </row>
    <row r="3038" spans="1:9" x14ac:dyDescent="0.15">
      <c r="A3038" s="5">
        <v>3037</v>
      </c>
      <c r="B3038" s="6" t="s">
        <v>9</v>
      </c>
      <c r="C3038" s="7">
        <v>1882</v>
      </c>
      <c r="D3038" s="8">
        <v>45388</v>
      </c>
      <c r="E3038" s="9" t="str">
        <f>+HYPERLINK("http://trademark.i-assist.jp/data/china/image_1882th/76503431.pdf","76503431")</f>
        <v>76503431</v>
      </c>
      <c r="F3038" s="6" t="s">
        <v>8292</v>
      </c>
      <c r="G3038" s="6" t="s">
        <v>8293</v>
      </c>
      <c r="H3038" s="8" t="s">
        <v>8294</v>
      </c>
      <c r="I3038" s="14">
        <v>45309</v>
      </c>
    </row>
    <row r="3039" spans="1:9" x14ac:dyDescent="0.15">
      <c r="A3039" s="5">
        <v>3038</v>
      </c>
      <c r="B3039" s="6" t="s">
        <v>9</v>
      </c>
      <c r="C3039" s="7">
        <v>1882</v>
      </c>
      <c r="D3039" s="8">
        <v>45388</v>
      </c>
      <c r="E3039" s="9" t="str">
        <f>+HYPERLINK("http://trademark.i-assist.jp/data/china/image_1882th/76503759.pdf","76503759")</f>
        <v>76503759</v>
      </c>
      <c r="F3039" s="6" t="s">
        <v>8295</v>
      </c>
      <c r="G3039" s="6" t="s">
        <v>8296</v>
      </c>
      <c r="H3039" s="8" t="s">
        <v>8297</v>
      </c>
      <c r="I3039" s="14">
        <v>45309</v>
      </c>
    </row>
    <row r="3040" spans="1:9" x14ac:dyDescent="0.15">
      <c r="A3040" s="5">
        <v>3039</v>
      </c>
      <c r="B3040" s="6" t="s">
        <v>9</v>
      </c>
      <c r="C3040" s="7">
        <v>1882</v>
      </c>
      <c r="D3040" s="8">
        <v>45388</v>
      </c>
      <c r="E3040" s="9" t="str">
        <f>+HYPERLINK("http://trademark.i-assist.jp/data/china/image_1882th/76505203.pdf","76505203")</f>
        <v>76505203</v>
      </c>
      <c r="F3040" s="6" t="s">
        <v>8298</v>
      </c>
      <c r="G3040" s="6" t="s">
        <v>8237</v>
      </c>
      <c r="H3040" s="8" t="s">
        <v>8238</v>
      </c>
      <c r="I3040" s="14">
        <v>45310</v>
      </c>
    </row>
    <row r="3041" spans="1:9" x14ac:dyDescent="0.15">
      <c r="A3041" s="5">
        <v>3040</v>
      </c>
      <c r="B3041" s="6" t="s">
        <v>9</v>
      </c>
      <c r="C3041" s="7">
        <v>1882</v>
      </c>
      <c r="D3041" s="8">
        <v>45388</v>
      </c>
      <c r="E3041" s="9" t="str">
        <f>+HYPERLINK("http://trademark.i-assist.jp/data/china/image_1882th/76505921.pdf","76505921")</f>
        <v>76505921</v>
      </c>
      <c r="F3041" s="6" t="s">
        <v>8299</v>
      </c>
      <c r="G3041" s="6" t="s">
        <v>8248</v>
      </c>
      <c r="H3041" s="8" t="s">
        <v>8300</v>
      </c>
      <c r="I3041" s="14">
        <v>45311</v>
      </c>
    </row>
    <row r="3042" spans="1:9" x14ac:dyDescent="0.15">
      <c r="A3042" s="5">
        <v>3041</v>
      </c>
      <c r="B3042" s="6" t="s">
        <v>9</v>
      </c>
      <c r="C3042" s="7">
        <v>1882</v>
      </c>
      <c r="D3042" s="8">
        <v>45388</v>
      </c>
      <c r="E3042" s="9" t="str">
        <f>+HYPERLINK("http://trademark.i-assist.jp/data/china/image_1882th/76505997.pdf","76505997")</f>
        <v>76505997</v>
      </c>
      <c r="F3042" s="6" t="s">
        <v>8301</v>
      </c>
      <c r="G3042" s="6" t="s">
        <v>8248</v>
      </c>
      <c r="H3042" s="8" t="s">
        <v>8230</v>
      </c>
      <c r="I3042" s="14">
        <v>45311</v>
      </c>
    </row>
    <row r="3043" spans="1:9" x14ac:dyDescent="0.15">
      <c r="A3043" s="5">
        <v>3042</v>
      </c>
      <c r="B3043" s="6" t="s">
        <v>9</v>
      </c>
      <c r="C3043" s="7">
        <v>1882</v>
      </c>
      <c r="D3043" s="8">
        <v>45388</v>
      </c>
      <c r="E3043" s="9" t="str">
        <f>+HYPERLINK("http://trademark.i-assist.jp/data/china/image_1882th/76506017.pdf","76506017")</f>
        <v>76506017</v>
      </c>
      <c r="F3043" s="6" t="s">
        <v>8302</v>
      </c>
      <c r="G3043" s="6" t="s">
        <v>8303</v>
      </c>
      <c r="H3043" s="8" t="s">
        <v>8304</v>
      </c>
      <c r="I3043" s="14">
        <v>45309</v>
      </c>
    </row>
    <row r="3044" spans="1:9" x14ac:dyDescent="0.15">
      <c r="A3044" s="5">
        <v>3043</v>
      </c>
      <c r="B3044" s="6" t="s">
        <v>9</v>
      </c>
      <c r="C3044" s="7">
        <v>1882</v>
      </c>
      <c r="D3044" s="8">
        <v>45388</v>
      </c>
      <c r="E3044" s="9" t="str">
        <f>+HYPERLINK("http://trademark.i-assist.jp/data/china/image_1882th/76506937.pdf","76506937")</f>
        <v>76506937</v>
      </c>
      <c r="F3044" s="6" t="s">
        <v>8305</v>
      </c>
      <c r="G3044" s="6" t="s">
        <v>1812</v>
      </c>
      <c r="H3044" s="8" t="s">
        <v>8306</v>
      </c>
      <c r="I3044" s="14">
        <v>45309</v>
      </c>
    </row>
    <row r="3045" spans="1:9" x14ac:dyDescent="0.15">
      <c r="A3045" s="5">
        <v>3044</v>
      </c>
      <c r="B3045" s="6" t="s">
        <v>9</v>
      </c>
      <c r="C3045" s="7">
        <v>1882</v>
      </c>
      <c r="D3045" s="8">
        <v>45388</v>
      </c>
      <c r="E3045" s="9" t="str">
        <f>+HYPERLINK("http://trademark.i-assist.jp/data/china/image_1882th/76507359.pdf","76507359")</f>
        <v>76507359</v>
      </c>
      <c r="F3045" s="6" t="s">
        <v>8307</v>
      </c>
      <c r="G3045" s="6" t="s">
        <v>8308</v>
      </c>
      <c r="H3045" s="8" t="s">
        <v>8309</v>
      </c>
      <c r="I3045" s="14">
        <v>45310</v>
      </c>
    </row>
    <row r="3046" spans="1:9" x14ac:dyDescent="0.15">
      <c r="A3046" s="5">
        <v>3045</v>
      </c>
      <c r="B3046" s="6" t="s">
        <v>9</v>
      </c>
      <c r="C3046" s="7">
        <v>1882</v>
      </c>
      <c r="D3046" s="8">
        <v>45388</v>
      </c>
      <c r="E3046" s="9" t="str">
        <f>+HYPERLINK("http://trademark.i-assist.jp/data/china/image_1882th/76507889.pdf","76507889")</f>
        <v>76507889</v>
      </c>
      <c r="F3046" s="6" t="s">
        <v>8310</v>
      </c>
      <c r="G3046" s="6" t="s">
        <v>8025</v>
      </c>
      <c r="H3046" s="8" t="s">
        <v>8311</v>
      </c>
      <c r="I3046" s="14">
        <v>45310</v>
      </c>
    </row>
    <row r="3047" spans="1:9" x14ac:dyDescent="0.15">
      <c r="A3047" s="5">
        <v>3046</v>
      </c>
      <c r="B3047" s="6" t="s">
        <v>9</v>
      </c>
      <c r="C3047" s="7">
        <v>1882</v>
      </c>
      <c r="D3047" s="8">
        <v>45388</v>
      </c>
      <c r="E3047" s="9" t="str">
        <f>+HYPERLINK("http://trademark.i-assist.jp/data/china/image_1882th/76510341.pdf","76510341")</f>
        <v>76510341</v>
      </c>
      <c r="F3047" s="6" t="s">
        <v>8312</v>
      </c>
      <c r="G3047" s="6" t="s">
        <v>8313</v>
      </c>
      <c r="H3047" s="8" t="s">
        <v>8314</v>
      </c>
      <c r="I3047" s="14">
        <v>45311</v>
      </c>
    </row>
    <row r="3048" spans="1:9" x14ac:dyDescent="0.15">
      <c r="A3048" s="5">
        <v>3047</v>
      </c>
      <c r="B3048" s="6" t="s">
        <v>9</v>
      </c>
      <c r="C3048" s="7">
        <v>1882</v>
      </c>
      <c r="D3048" s="8">
        <v>45388</v>
      </c>
      <c r="E3048" s="9" t="str">
        <f>+HYPERLINK("http://trademark.i-assist.jp/data/china/image_1882th/76510806.pdf","76510806")</f>
        <v>76510806</v>
      </c>
      <c r="F3048" s="6" t="s">
        <v>8315</v>
      </c>
      <c r="G3048" s="6" t="s">
        <v>8316</v>
      </c>
      <c r="H3048" s="8" t="s">
        <v>8317</v>
      </c>
      <c r="I3048" s="14">
        <v>45311</v>
      </c>
    </row>
    <row r="3049" spans="1:9" x14ac:dyDescent="0.15">
      <c r="A3049" s="5">
        <v>3048</v>
      </c>
      <c r="B3049" s="6" t="s">
        <v>9</v>
      </c>
      <c r="C3049" s="7">
        <v>1882</v>
      </c>
      <c r="D3049" s="8">
        <v>45388</v>
      </c>
      <c r="E3049" s="9" t="str">
        <f>+HYPERLINK("http://trademark.i-assist.jp/data/china/image_1882th/76510870.pdf","76510870")</f>
        <v>76510870</v>
      </c>
      <c r="F3049" s="6" t="s">
        <v>8318</v>
      </c>
      <c r="G3049" s="6" t="s">
        <v>8248</v>
      </c>
      <c r="H3049" s="8" t="s">
        <v>8230</v>
      </c>
      <c r="I3049" s="14">
        <v>45311</v>
      </c>
    </row>
    <row r="3050" spans="1:9" x14ac:dyDescent="0.15">
      <c r="A3050" s="5">
        <v>3049</v>
      </c>
      <c r="B3050" s="6" t="s">
        <v>9</v>
      </c>
      <c r="C3050" s="7">
        <v>1882</v>
      </c>
      <c r="D3050" s="8">
        <v>45388</v>
      </c>
      <c r="E3050" s="9" t="str">
        <f>+HYPERLINK("http://trademark.i-assist.jp/data/china/image_1882th/76511149.pdf","76511149")</f>
        <v>76511149</v>
      </c>
      <c r="F3050" s="6" t="s">
        <v>8319</v>
      </c>
      <c r="G3050" s="6" t="s">
        <v>8320</v>
      </c>
      <c r="H3050" s="8" t="s">
        <v>8321</v>
      </c>
      <c r="I3050" s="14">
        <v>45311</v>
      </c>
    </row>
    <row r="3051" spans="1:9" x14ac:dyDescent="0.15">
      <c r="A3051" s="5">
        <v>3050</v>
      </c>
      <c r="B3051" s="6" t="s">
        <v>9</v>
      </c>
      <c r="C3051" s="7">
        <v>1882</v>
      </c>
      <c r="D3051" s="8">
        <v>45388</v>
      </c>
      <c r="E3051" s="9" t="str">
        <f>+HYPERLINK("http://trademark.i-assist.jp/data/china/image_1882th/76511217.pdf","76511217")</f>
        <v>76511217</v>
      </c>
      <c r="F3051" s="6" t="s">
        <v>8322</v>
      </c>
      <c r="G3051" s="6" t="s">
        <v>8323</v>
      </c>
      <c r="H3051" s="8" t="s">
        <v>8324</v>
      </c>
      <c r="I3051" s="14">
        <v>45311</v>
      </c>
    </row>
    <row r="3052" spans="1:9" x14ac:dyDescent="0.15">
      <c r="A3052" s="5">
        <v>3051</v>
      </c>
      <c r="B3052" s="6" t="s">
        <v>9</v>
      </c>
      <c r="C3052" s="7">
        <v>1882</v>
      </c>
      <c r="D3052" s="8">
        <v>45388</v>
      </c>
      <c r="E3052" s="9" t="str">
        <f>+HYPERLINK("http://trademark.i-assist.jp/data/china/image_1882th/76511266.pdf","76511266")</f>
        <v>76511266</v>
      </c>
      <c r="F3052" s="6" t="s">
        <v>8325</v>
      </c>
      <c r="G3052" s="6" t="s">
        <v>8326</v>
      </c>
      <c r="H3052" s="8" t="s">
        <v>8327</v>
      </c>
      <c r="I3052" s="14">
        <v>45311</v>
      </c>
    </row>
    <row r="3053" spans="1:9" x14ac:dyDescent="0.15">
      <c r="A3053" s="5">
        <v>3052</v>
      </c>
      <c r="B3053" s="6" t="s">
        <v>9</v>
      </c>
      <c r="C3053" s="7">
        <v>1882</v>
      </c>
      <c r="D3053" s="8">
        <v>45388</v>
      </c>
      <c r="E3053" s="9" t="str">
        <f>+HYPERLINK("http://trademark.i-assist.jp/data/china/image_1882th/76511961.pdf","76511961")</f>
        <v>76511961</v>
      </c>
      <c r="F3053" s="6" t="s">
        <v>8328</v>
      </c>
      <c r="G3053" s="6" t="s">
        <v>8329</v>
      </c>
      <c r="H3053" s="8" t="s">
        <v>8330</v>
      </c>
      <c r="I3053" s="14">
        <v>45311</v>
      </c>
    </row>
    <row r="3054" spans="1:9" x14ac:dyDescent="0.15">
      <c r="A3054" s="5">
        <v>3053</v>
      </c>
      <c r="B3054" s="6" t="s">
        <v>9</v>
      </c>
      <c r="C3054" s="7">
        <v>1882</v>
      </c>
      <c r="D3054" s="8">
        <v>45388</v>
      </c>
      <c r="E3054" s="9" t="str">
        <f>+HYPERLINK("http://trademark.i-assist.jp/data/china/image_1882th/76513407.pdf","76513407")</f>
        <v>76513407</v>
      </c>
      <c r="F3054" s="6" t="s">
        <v>8331</v>
      </c>
      <c r="G3054" s="6" t="s">
        <v>8332</v>
      </c>
      <c r="H3054" s="8" t="s">
        <v>8333</v>
      </c>
      <c r="I3054" s="14">
        <v>45311</v>
      </c>
    </row>
    <row r="3055" spans="1:9" x14ac:dyDescent="0.15">
      <c r="A3055" s="5">
        <v>3054</v>
      </c>
      <c r="B3055" s="6" t="s">
        <v>9</v>
      </c>
      <c r="C3055" s="7">
        <v>1882</v>
      </c>
      <c r="D3055" s="8">
        <v>45388</v>
      </c>
      <c r="E3055" s="9" t="str">
        <f>+HYPERLINK("http://trademark.i-assist.jp/data/china/image_1882th/76513756.pdf","76513756")</f>
        <v>76513756</v>
      </c>
      <c r="F3055" s="6" t="s">
        <v>8334</v>
      </c>
      <c r="G3055" s="6" t="s">
        <v>8335</v>
      </c>
      <c r="H3055" s="8" t="s">
        <v>8336</v>
      </c>
      <c r="I3055" s="14">
        <v>45311</v>
      </c>
    </row>
    <row r="3056" spans="1:9" x14ac:dyDescent="0.15">
      <c r="A3056" s="5">
        <v>3055</v>
      </c>
      <c r="B3056" s="6" t="s">
        <v>9</v>
      </c>
      <c r="C3056" s="7">
        <v>1882</v>
      </c>
      <c r="D3056" s="8">
        <v>45388</v>
      </c>
      <c r="E3056" s="9" t="str">
        <f>+HYPERLINK("http://trademark.i-assist.jp/data/china/image_1882th/76514010.pdf","76514010")</f>
        <v>76514010</v>
      </c>
      <c r="F3056" s="6" t="s">
        <v>8337</v>
      </c>
      <c r="G3056" s="6" t="s">
        <v>8338</v>
      </c>
      <c r="H3056" s="8" t="s">
        <v>8339</v>
      </c>
      <c r="I3056" s="14">
        <v>45309</v>
      </c>
    </row>
    <row r="3057" spans="1:9" x14ac:dyDescent="0.15">
      <c r="A3057" s="5">
        <v>3056</v>
      </c>
      <c r="B3057" s="6" t="s">
        <v>9</v>
      </c>
      <c r="C3057" s="7">
        <v>1882</v>
      </c>
      <c r="D3057" s="8">
        <v>45388</v>
      </c>
      <c r="E3057" s="9" t="str">
        <f>+HYPERLINK("http://trademark.i-assist.jp/data/china/image_1882th/76514130.pdf","76514130")</f>
        <v>76514130</v>
      </c>
      <c r="F3057" s="6" t="s">
        <v>8340</v>
      </c>
      <c r="G3057" s="6" t="s">
        <v>8248</v>
      </c>
      <c r="H3057" s="8" t="s">
        <v>8230</v>
      </c>
      <c r="I3057" s="14">
        <v>45311</v>
      </c>
    </row>
    <row r="3058" spans="1:9" x14ac:dyDescent="0.15">
      <c r="A3058" s="5">
        <v>3057</v>
      </c>
      <c r="B3058" s="6" t="s">
        <v>9</v>
      </c>
      <c r="C3058" s="7">
        <v>1882</v>
      </c>
      <c r="D3058" s="8">
        <v>45388</v>
      </c>
      <c r="E3058" s="9" t="str">
        <f>+HYPERLINK("http://trademark.i-assist.jp/data/china/image_1882th/76514455.pdf","76514455")</f>
        <v>76514455</v>
      </c>
      <c r="F3058" s="6" t="s">
        <v>8341</v>
      </c>
      <c r="G3058" s="6" t="s">
        <v>8342</v>
      </c>
      <c r="H3058" s="8" t="s">
        <v>8343</v>
      </c>
      <c r="I3058" s="14">
        <v>45311</v>
      </c>
    </row>
    <row r="3059" spans="1:9" x14ac:dyDescent="0.15">
      <c r="A3059" s="5">
        <v>3058</v>
      </c>
      <c r="B3059" s="6" t="s">
        <v>9</v>
      </c>
      <c r="C3059" s="7">
        <v>1882</v>
      </c>
      <c r="D3059" s="8">
        <v>45388</v>
      </c>
      <c r="E3059" s="9" t="str">
        <f>+HYPERLINK("http://trademark.i-assist.jp/data/china/image_1882th/76515265.pdf","76515265")</f>
        <v>76515265</v>
      </c>
      <c r="F3059" s="6" t="s">
        <v>8344</v>
      </c>
      <c r="G3059" s="6" t="s">
        <v>8345</v>
      </c>
      <c r="H3059" s="8" t="s">
        <v>8346</v>
      </c>
      <c r="I3059" s="14">
        <v>45311</v>
      </c>
    </row>
    <row r="3060" spans="1:9" x14ac:dyDescent="0.15">
      <c r="A3060" s="5">
        <v>3059</v>
      </c>
      <c r="B3060" s="6" t="s">
        <v>9</v>
      </c>
      <c r="C3060" s="7">
        <v>1882</v>
      </c>
      <c r="D3060" s="8">
        <v>45388</v>
      </c>
      <c r="E3060" s="9" t="str">
        <f>+HYPERLINK("http://trademark.i-assist.jp/data/china/image_1882th/76515820.pdf","76515820")</f>
        <v>76515820</v>
      </c>
      <c r="F3060" s="6" t="s">
        <v>8347</v>
      </c>
      <c r="G3060" s="6" t="s">
        <v>8348</v>
      </c>
      <c r="H3060" s="8" t="s">
        <v>8230</v>
      </c>
      <c r="I3060" s="14">
        <v>45311</v>
      </c>
    </row>
    <row r="3061" spans="1:9" x14ac:dyDescent="0.15">
      <c r="A3061" s="5">
        <v>3060</v>
      </c>
      <c r="B3061" s="6" t="s">
        <v>9</v>
      </c>
      <c r="C3061" s="7">
        <v>1882</v>
      </c>
      <c r="D3061" s="8">
        <v>45388</v>
      </c>
      <c r="E3061" s="9" t="str">
        <f>+HYPERLINK("http://trademark.i-assist.jp/data/china/image_1882th/76516612.pdf","76516612")</f>
        <v>76516612</v>
      </c>
      <c r="F3061" s="6" t="s">
        <v>8349</v>
      </c>
      <c r="G3061" s="6" t="s">
        <v>8350</v>
      </c>
      <c r="H3061" s="8" t="s">
        <v>8351</v>
      </c>
      <c r="I3061" s="14">
        <v>45311</v>
      </c>
    </row>
    <row r="3062" spans="1:9" x14ac:dyDescent="0.15">
      <c r="A3062" s="5">
        <v>3061</v>
      </c>
      <c r="B3062" s="6" t="s">
        <v>9</v>
      </c>
      <c r="C3062" s="7">
        <v>1882</v>
      </c>
      <c r="D3062" s="8">
        <v>45388</v>
      </c>
      <c r="E3062" s="9" t="str">
        <f>+HYPERLINK("http://trademark.i-assist.jp/data/china/image_1882th/76516718.pdf","76516718")</f>
        <v>76516718</v>
      </c>
      <c r="F3062" s="6" t="s">
        <v>8352</v>
      </c>
      <c r="G3062" s="6" t="s">
        <v>8182</v>
      </c>
      <c r="H3062" s="8" t="s">
        <v>8230</v>
      </c>
      <c r="I3062" s="14">
        <v>45311</v>
      </c>
    </row>
    <row r="3063" spans="1:9" x14ac:dyDescent="0.15">
      <c r="A3063" s="5">
        <v>3062</v>
      </c>
      <c r="B3063" s="6" t="s">
        <v>9</v>
      </c>
      <c r="C3063" s="7">
        <v>1882</v>
      </c>
      <c r="D3063" s="8">
        <v>45388</v>
      </c>
      <c r="E3063" s="9" t="str">
        <f>+HYPERLINK("http://trademark.i-assist.jp/data/china/image_1882th/76516821.pdf","76516821")</f>
        <v>76516821</v>
      </c>
      <c r="F3063" s="6" t="s">
        <v>8353</v>
      </c>
      <c r="G3063" s="6" t="s">
        <v>8232</v>
      </c>
      <c r="H3063" s="8" t="s">
        <v>8230</v>
      </c>
      <c r="I3063" s="14">
        <v>45312</v>
      </c>
    </row>
    <row r="3064" spans="1:9" x14ac:dyDescent="0.15">
      <c r="A3064" s="5">
        <v>3063</v>
      </c>
      <c r="B3064" s="6" t="s">
        <v>9</v>
      </c>
      <c r="C3064" s="7">
        <v>1882</v>
      </c>
      <c r="D3064" s="8">
        <v>45388</v>
      </c>
      <c r="E3064" s="9" t="str">
        <f>+HYPERLINK("http://trademark.i-assist.jp/data/china/image_1882th/76516822.pdf","76516822")</f>
        <v>76516822</v>
      </c>
      <c r="F3064" s="6" t="s">
        <v>8354</v>
      </c>
      <c r="G3064" s="6" t="s">
        <v>8348</v>
      </c>
      <c r="H3064" s="8" t="s">
        <v>8230</v>
      </c>
      <c r="I3064" s="14">
        <v>45312</v>
      </c>
    </row>
    <row r="3065" spans="1:9" x14ac:dyDescent="0.15">
      <c r="A3065" s="5">
        <v>3064</v>
      </c>
      <c r="B3065" s="6" t="s">
        <v>9</v>
      </c>
      <c r="C3065" s="7">
        <v>1882</v>
      </c>
      <c r="D3065" s="8">
        <v>45388</v>
      </c>
      <c r="E3065" s="9" t="str">
        <f>+HYPERLINK("http://trademark.i-assist.jp/data/china/image_1882th/76517119.pdf","76517119")</f>
        <v>76517119</v>
      </c>
      <c r="F3065" s="6" t="s">
        <v>8355</v>
      </c>
      <c r="G3065" s="6" t="s">
        <v>8348</v>
      </c>
      <c r="H3065" s="8" t="s">
        <v>8230</v>
      </c>
      <c r="I3065" s="14">
        <v>45312</v>
      </c>
    </row>
    <row r="3066" spans="1:9" x14ac:dyDescent="0.15">
      <c r="A3066" s="5">
        <v>3065</v>
      </c>
      <c r="B3066" s="6" t="s">
        <v>9</v>
      </c>
      <c r="C3066" s="7">
        <v>1882</v>
      </c>
      <c r="D3066" s="8">
        <v>45388</v>
      </c>
      <c r="E3066" s="9" t="str">
        <f>+HYPERLINK("http://trademark.i-assist.jp/data/china/image_1882th/76517562.pdf","76517562")</f>
        <v>76517562</v>
      </c>
      <c r="F3066" s="6" t="s">
        <v>8356</v>
      </c>
      <c r="G3066" s="6" t="s">
        <v>8357</v>
      </c>
      <c r="H3066" s="8" t="s">
        <v>8358</v>
      </c>
      <c r="I3066" s="14">
        <v>45309</v>
      </c>
    </row>
    <row r="3067" spans="1:9" x14ac:dyDescent="0.15">
      <c r="A3067" s="5">
        <v>3066</v>
      </c>
      <c r="B3067" s="6" t="s">
        <v>9</v>
      </c>
      <c r="C3067" s="7">
        <v>1882</v>
      </c>
      <c r="D3067" s="8">
        <v>45388</v>
      </c>
      <c r="E3067" s="9" t="str">
        <f>+HYPERLINK("http://trademark.i-assist.jp/data/china/image_1882th/76517669.pdf","76517669")</f>
        <v>76517669</v>
      </c>
      <c r="F3067" s="6" t="s">
        <v>8359</v>
      </c>
      <c r="G3067" s="6" t="s">
        <v>8360</v>
      </c>
      <c r="H3067" s="8" t="s">
        <v>8361</v>
      </c>
      <c r="I3067" s="14">
        <v>45312</v>
      </c>
    </row>
    <row r="3068" spans="1:9" x14ac:dyDescent="0.15">
      <c r="A3068" s="5">
        <v>3067</v>
      </c>
      <c r="B3068" s="6" t="s">
        <v>9</v>
      </c>
      <c r="C3068" s="7">
        <v>1882</v>
      </c>
      <c r="D3068" s="8">
        <v>45388</v>
      </c>
      <c r="E3068" s="9" t="str">
        <f>+HYPERLINK("http://trademark.i-assist.jp/data/china/image_1882th/76518109.pdf","76518109")</f>
        <v>76518109</v>
      </c>
      <c r="F3068" s="6" t="s">
        <v>8362</v>
      </c>
      <c r="G3068" s="6" t="s">
        <v>8232</v>
      </c>
      <c r="H3068" s="8" t="s">
        <v>8230</v>
      </c>
      <c r="I3068" s="14">
        <v>45312</v>
      </c>
    </row>
    <row r="3069" spans="1:9" x14ac:dyDescent="0.15">
      <c r="A3069" s="5">
        <v>3068</v>
      </c>
      <c r="B3069" s="6" t="s">
        <v>9</v>
      </c>
      <c r="C3069" s="7">
        <v>1882</v>
      </c>
      <c r="D3069" s="8">
        <v>45388</v>
      </c>
      <c r="E3069" s="9" t="str">
        <f>+HYPERLINK("http://trademark.i-assist.jp/data/china/image_1882th/76518110.pdf","76518110")</f>
        <v>76518110</v>
      </c>
      <c r="F3069" s="6" t="s">
        <v>8363</v>
      </c>
      <c r="G3069" s="6" t="s">
        <v>8348</v>
      </c>
      <c r="H3069" s="8" t="s">
        <v>8364</v>
      </c>
      <c r="I3069" s="14">
        <v>45312</v>
      </c>
    </row>
    <row r="3070" spans="1:9" x14ac:dyDescent="0.15">
      <c r="A3070" s="5">
        <v>3069</v>
      </c>
      <c r="B3070" s="6" t="s">
        <v>9</v>
      </c>
      <c r="C3070" s="7">
        <v>1882</v>
      </c>
      <c r="D3070" s="8">
        <v>45388</v>
      </c>
      <c r="E3070" s="9" t="str">
        <f>+HYPERLINK("http://trademark.i-assist.jp/data/china/image_1882th/76518236.pdf","76518236")</f>
        <v>76518236</v>
      </c>
      <c r="F3070" s="6" t="s">
        <v>8365</v>
      </c>
      <c r="G3070" s="6" t="s">
        <v>8348</v>
      </c>
      <c r="H3070" s="8" t="s">
        <v>8366</v>
      </c>
      <c r="I3070" s="14">
        <v>45312</v>
      </c>
    </row>
    <row r="3071" spans="1:9" x14ac:dyDescent="0.15">
      <c r="A3071" s="5">
        <v>3070</v>
      </c>
      <c r="B3071" s="6" t="s">
        <v>9</v>
      </c>
      <c r="C3071" s="7">
        <v>1882</v>
      </c>
      <c r="D3071" s="8">
        <v>45388</v>
      </c>
      <c r="E3071" s="9" t="str">
        <f>+HYPERLINK("http://trademark.i-assist.jp/data/china/image_1882th/76519050.pdf","76519050")</f>
        <v>76519050</v>
      </c>
      <c r="F3071" s="6" t="s">
        <v>8367</v>
      </c>
      <c r="G3071" s="6" t="s">
        <v>8368</v>
      </c>
      <c r="H3071" s="8" t="s">
        <v>8369</v>
      </c>
      <c r="I3071" s="14">
        <v>45312</v>
      </c>
    </row>
    <row r="3072" spans="1:9" x14ac:dyDescent="0.15">
      <c r="A3072" s="5">
        <v>3071</v>
      </c>
      <c r="B3072" s="6" t="s">
        <v>9</v>
      </c>
      <c r="C3072" s="7">
        <v>1882</v>
      </c>
      <c r="D3072" s="8">
        <v>45388</v>
      </c>
      <c r="E3072" s="9" t="str">
        <f>+HYPERLINK("http://trademark.i-assist.jp/data/china/image_1882th/76519366.pdf","76519366")</f>
        <v>76519366</v>
      </c>
      <c r="F3072" s="6" t="s">
        <v>8370</v>
      </c>
      <c r="G3072" s="6" t="s">
        <v>8348</v>
      </c>
      <c r="H3072" s="8" t="s">
        <v>8230</v>
      </c>
      <c r="I3072" s="14">
        <v>45312</v>
      </c>
    </row>
    <row r="3073" spans="1:9" x14ac:dyDescent="0.15">
      <c r="A3073" s="5">
        <v>3072</v>
      </c>
      <c r="B3073" s="6" t="s">
        <v>9</v>
      </c>
      <c r="C3073" s="7">
        <v>1882</v>
      </c>
      <c r="D3073" s="8">
        <v>45388</v>
      </c>
      <c r="E3073" s="9" t="str">
        <f>+HYPERLINK("http://trademark.i-assist.jp/data/china/image_1882th/76787166.pdf","76787166")</f>
        <v>76787166</v>
      </c>
      <c r="F3073" s="6" t="s">
        <v>26</v>
      </c>
      <c r="G3073" s="6" t="s">
        <v>8371</v>
      </c>
      <c r="H3073" s="8" t="s">
        <v>8372</v>
      </c>
      <c r="I3073" s="14">
        <v>45327</v>
      </c>
    </row>
    <row r="3074" spans="1:9" x14ac:dyDescent="0.15">
      <c r="A3074" s="5">
        <v>3073</v>
      </c>
      <c r="B3074" s="6" t="s">
        <v>9</v>
      </c>
      <c r="C3074" s="7">
        <v>1882</v>
      </c>
      <c r="D3074" s="8">
        <v>45388</v>
      </c>
      <c r="E3074" s="9" t="str">
        <f>+HYPERLINK("http://trademark.i-assist.jp/data/china/image_1882th/76863851.pdf","76863851")</f>
        <v>76863851</v>
      </c>
      <c r="F3074" s="6" t="s">
        <v>8373</v>
      </c>
      <c r="G3074" s="6" t="s">
        <v>531</v>
      </c>
      <c r="H3074" s="8" t="s">
        <v>8374</v>
      </c>
      <c r="I3074" s="14">
        <v>45342</v>
      </c>
    </row>
    <row r="3075" spans="1:9" x14ac:dyDescent="0.15">
      <c r="A3075" s="5">
        <v>3074</v>
      </c>
      <c r="B3075" s="6" t="s">
        <v>9</v>
      </c>
      <c r="C3075" s="7">
        <v>1882</v>
      </c>
      <c r="D3075" s="8">
        <v>45388</v>
      </c>
      <c r="E3075" s="9" t="str">
        <f>+HYPERLINK("http://trademark.i-assist.jp/data/china/image_1882th/76865344.pdf","76865344")</f>
        <v>76865344</v>
      </c>
      <c r="F3075" s="6" t="s">
        <v>8375</v>
      </c>
      <c r="G3075" s="6" t="s">
        <v>531</v>
      </c>
      <c r="H3075" s="8" t="s">
        <v>8376</v>
      </c>
      <c r="I3075" s="14">
        <v>45342</v>
      </c>
    </row>
    <row r="3076" spans="1:9" x14ac:dyDescent="0.15">
      <c r="A3076" s="5">
        <v>3075</v>
      </c>
      <c r="B3076" s="6" t="s">
        <v>9</v>
      </c>
      <c r="C3076" s="7">
        <v>1882</v>
      </c>
      <c r="D3076" s="8">
        <v>45388</v>
      </c>
      <c r="E3076" s="9" t="str">
        <f>+HYPERLINK("http://trademark.i-assist.jp/data/china/image_1882th/76869960.pdf","76869960")</f>
        <v>76869960</v>
      </c>
      <c r="F3076" s="6" t="s">
        <v>8377</v>
      </c>
      <c r="G3076" s="6" t="s">
        <v>531</v>
      </c>
      <c r="H3076" s="8" t="s">
        <v>8378</v>
      </c>
      <c r="I3076" s="14">
        <v>45342</v>
      </c>
    </row>
  </sheetData>
  <phoneticPr fontId="5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1882th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IA-99</cp:lastModifiedBy>
  <dcterms:created xsi:type="dcterms:W3CDTF">2018-08-31T07:51:48Z</dcterms:created>
  <dcterms:modified xsi:type="dcterms:W3CDTF">2024-12-04T07:00:29Z</dcterms:modified>
</cp:coreProperties>
</file>